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https://d.docs.live.net/71faf55fe6ac0c2b/Lexar/ESWOOD CCSD 269/LEVY/LEVY 2022/"/>
    </mc:Choice>
  </mc:AlternateContent>
  <xr:revisionPtr revIDLastSave="123" documentId="8_{A99C5FF1-1570-4ED1-9360-0A4D4F4EAD8F}" xr6:coauthVersionLast="47" xr6:coauthVersionMax="47" xr10:uidLastSave="{2E02F8D7-AF7C-4147-9CBC-098C3F967BCE}"/>
  <bookViews>
    <workbookView xWindow="-108" yWindow="-108" windowWidth="23256" windowHeight="12576" activeTab="2" xr2:uid="{00000000-000D-0000-FFFF-FFFF00000000}"/>
  </bookViews>
  <sheets>
    <sheet name="Disclaimer" sheetId="19" r:id="rId1"/>
    <sheet name="Instructions" sheetId="16" r:id="rId2"/>
    <sheet name="Input" sheetId="5" r:id="rId3"/>
    <sheet name="Calculations" sheetId="9" r:id="rId4"/>
    <sheet name="copyright_disclaimer" sheetId="15" state="hidden" r:id="rId5"/>
    <sheet name="Extension" sheetId="17" r:id="rId6"/>
    <sheet name="Certificate of Tax Levy" sheetId="4" r:id="rId7"/>
    <sheet name="Explanation" sheetId="2" r:id="rId8"/>
    <sheet name="InfoPage" sheetId="3" state="hidden" r:id="rId9"/>
  </sheets>
  <definedNames>
    <definedName name="_xlnm.Print_Area" localSheetId="3">Calculations!$A$1:$L$35</definedName>
    <definedName name="_xlnm.Print_Area" localSheetId="7">Explanation!$A$1:$A$71</definedName>
    <definedName name="_xlnm.Print_Area" localSheetId="5">Extension!$A$1:$N$37</definedName>
    <definedName name="_xlnm.Print_Area" localSheetId="2">Input!$A$3:$H$63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5" l="1"/>
  <c r="F40" i="5"/>
  <c r="G40" i="5"/>
  <c r="H16" i="17"/>
  <c r="G16" i="17"/>
  <c r="G12" i="9"/>
  <c r="H14" i="17"/>
  <c r="A31" i="17"/>
  <c r="A27" i="9"/>
  <c r="I27" i="9"/>
  <c r="I16" i="17"/>
  <c r="J13" i="17"/>
  <c r="K21" i="9"/>
  <c r="K19" i="9"/>
  <c r="K18" i="9"/>
  <c r="D18" i="9"/>
  <c r="D19" i="9"/>
  <c r="B28" i="5"/>
  <c r="G5" i="9"/>
  <c r="F12" i="9" l="1"/>
  <c r="A28" i="17"/>
  <c r="H11" i="17"/>
  <c r="H10" i="17"/>
  <c r="H9" i="17"/>
  <c r="H8" i="17"/>
  <c r="H5" i="17"/>
  <c r="H4" i="17"/>
  <c r="H3" i="17"/>
  <c r="H2" i="17"/>
  <c r="D24" i="5"/>
  <c r="D26" i="5"/>
  <c r="D40" i="5"/>
  <c r="G11" i="9"/>
  <c r="G10" i="9"/>
  <c r="G8" i="9"/>
  <c r="G6" i="9"/>
  <c r="G3" i="9"/>
  <c r="D13" i="9"/>
  <c r="C59" i="5"/>
  <c r="C57" i="5"/>
  <c r="C53" i="5"/>
  <c r="B32" i="5"/>
  <c r="B30" i="5"/>
  <c r="B26" i="5"/>
  <c r="I42" i="4"/>
  <c r="G21" i="4"/>
  <c r="I10" i="17"/>
  <c r="I2" i="17"/>
  <c r="J33" i="17" l="1"/>
  <c r="J35" i="17"/>
  <c r="A41" i="5"/>
  <c r="A43" i="5"/>
  <c r="L31" i="17" l="1"/>
  <c r="L29" i="17" s="1"/>
  <c r="M29" i="17" s="1"/>
  <c r="H3" i="9" l="1"/>
  <c r="I11" i="17"/>
  <c r="A2" i="17"/>
  <c r="C14" i="9"/>
  <c r="C15" i="9"/>
  <c r="C16" i="9"/>
  <c r="C17" i="9"/>
  <c r="C20" i="9"/>
  <c r="C22" i="9"/>
  <c r="C23" i="9"/>
  <c r="C24" i="9"/>
  <c r="H8" i="9"/>
  <c r="H5" i="9"/>
  <c r="H2" i="9"/>
  <c r="A2" i="9"/>
  <c r="I3" i="17"/>
  <c r="N33" i="17"/>
  <c r="C32" i="5"/>
  <c r="C33" i="5" s="1"/>
  <c r="D41" i="5"/>
  <c r="D42" i="5"/>
  <c r="B15" i="9" s="1"/>
  <c r="D43" i="5"/>
  <c r="B16" i="9" s="1"/>
  <c r="D44" i="5"/>
  <c r="B17" i="9" s="1"/>
  <c r="D45" i="5"/>
  <c r="B18" i="9" s="1"/>
  <c r="D46" i="5"/>
  <c r="B19" i="9" s="1"/>
  <c r="D47" i="5"/>
  <c r="B20" i="9" s="1"/>
  <c r="D48" i="5"/>
  <c r="B21" i="9" s="1"/>
  <c r="D49" i="5"/>
  <c r="B22" i="9" s="1"/>
  <c r="D50" i="5"/>
  <c r="B23" i="9" s="1"/>
  <c r="A24" i="9"/>
  <c r="I41" i="4"/>
  <c r="D51" i="5"/>
  <c r="B24" i="9" s="1"/>
  <c r="D21" i="9"/>
  <c r="H40" i="5"/>
  <c r="G20" i="4"/>
  <c r="B31" i="9"/>
  <c r="B33" i="9"/>
  <c r="J31" i="9"/>
  <c r="B33" i="17" s="1"/>
  <c r="J33" i="9"/>
  <c r="B35" i="17" s="1"/>
  <c r="K12" i="4"/>
  <c r="J61" i="4" s="1"/>
  <c r="G12" i="4"/>
  <c r="H61" i="4" s="1"/>
  <c r="K56" i="4"/>
  <c r="I66" i="4"/>
  <c r="E45" i="4"/>
  <c r="H43" i="4"/>
  <c r="J63" i="4" s="1"/>
  <c r="C2" i="4"/>
  <c r="C3" i="4"/>
  <c r="A12" i="4"/>
  <c r="N35" i="17"/>
  <c r="L62" i="4" l="1"/>
  <c r="H6" i="9"/>
  <c r="D17" i="9"/>
  <c r="D24" i="9"/>
  <c r="D16" i="9"/>
  <c r="D15" i="9"/>
  <c r="D20" i="9"/>
  <c r="D22" i="9"/>
  <c r="D23" i="9"/>
  <c r="D14" i="9"/>
  <c r="K33" i="9"/>
  <c r="K21" i="4"/>
  <c r="C42" i="4" s="1"/>
  <c r="H10" i="9"/>
  <c r="I4" i="17"/>
  <c r="I5" i="17"/>
  <c r="H11" i="9"/>
  <c r="D53" i="5"/>
  <c r="B9" i="9" s="1"/>
  <c r="B14" i="9"/>
  <c r="B27" i="9" l="1"/>
  <c r="B35" i="9" s="1"/>
  <c r="B10" i="17"/>
  <c r="B11" i="17" s="1"/>
  <c r="B10" i="9"/>
  <c r="C10" i="17"/>
  <c r="C11" i="17" s="1"/>
  <c r="D59" i="5"/>
  <c r="D27" i="9"/>
  <c r="F21" i="9" l="1"/>
  <c r="F19" i="9"/>
  <c r="F18" i="9"/>
  <c r="F17" i="9"/>
  <c r="F16" i="9"/>
  <c r="F22" i="9"/>
  <c r="F14" i="9"/>
  <c r="F20" i="9"/>
  <c r="F15" i="9"/>
  <c r="F24" i="9"/>
  <c r="F23" i="9"/>
  <c r="J19" i="9" l="1"/>
  <c r="J21" i="9"/>
  <c r="J20" i="9"/>
  <c r="K16" i="4" s="1"/>
  <c r="C35" i="4" s="1"/>
  <c r="J17" i="9"/>
  <c r="B21" i="17" s="1"/>
  <c r="E21" i="17" s="1"/>
  <c r="J16" i="9"/>
  <c r="B20" i="17" s="1"/>
  <c r="E20" i="17" s="1"/>
  <c r="J24" i="9"/>
  <c r="K20" i="4" s="1"/>
  <c r="C41" i="4" s="1"/>
  <c r="J23" i="9"/>
  <c r="K19" i="4" s="1"/>
  <c r="C39" i="4" s="1"/>
  <c r="J15" i="9"/>
  <c r="B19" i="17" s="1"/>
  <c r="E19" i="17" s="1"/>
  <c r="J14" i="9"/>
  <c r="B18" i="17" s="1"/>
  <c r="E18" i="17" s="1"/>
  <c r="J22" i="9"/>
  <c r="K18" i="4" s="1"/>
  <c r="C38" i="4" s="1"/>
  <c r="F27" i="9"/>
  <c r="K17" i="4" l="1"/>
  <c r="C37" i="4" s="1"/>
  <c r="B25" i="17"/>
  <c r="E25" i="17" s="1"/>
  <c r="F25" i="17" s="1"/>
  <c r="G25" i="17" s="1"/>
  <c r="H25" i="17" s="1"/>
  <c r="B23" i="17"/>
  <c r="E23" i="17" s="1"/>
  <c r="F23" i="17" s="1"/>
  <c r="G23" i="17" s="1"/>
  <c r="H23" i="17" s="1"/>
  <c r="D21" i="4"/>
  <c r="C34" i="4" s="1"/>
  <c r="G27" i="9"/>
  <c r="J18" i="9"/>
  <c r="J27" i="9" s="1"/>
  <c r="J35" i="9" s="1"/>
  <c r="K35" i="9" s="1"/>
  <c r="K23" i="9"/>
  <c r="K20" i="9"/>
  <c r="K24" i="9"/>
  <c r="K22" i="9"/>
  <c r="K14" i="9"/>
  <c r="K15" i="9"/>
  <c r="K17" i="9"/>
  <c r="K16" i="9"/>
  <c r="D16" i="4"/>
  <c r="C29" i="4" s="1"/>
  <c r="D18" i="4"/>
  <c r="C31" i="4" s="1"/>
  <c r="D19" i="4"/>
  <c r="C32" i="4" s="1"/>
  <c r="D17" i="4"/>
  <c r="C30" i="4" s="1"/>
  <c r="B28" i="17"/>
  <c r="E28" i="17" s="1"/>
  <c r="F28" i="17" s="1"/>
  <c r="G28" i="17" s="1"/>
  <c r="H28" i="17" s="1"/>
  <c r="B27" i="17"/>
  <c r="E27" i="17" s="1"/>
  <c r="F27" i="17" s="1"/>
  <c r="G27" i="17" s="1"/>
  <c r="H27" i="17" s="1"/>
  <c r="B26" i="17"/>
  <c r="E26" i="17" s="1"/>
  <c r="F26" i="17" s="1"/>
  <c r="G26" i="17" s="1"/>
  <c r="H26" i="17" s="1"/>
  <c r="B24" i="17"/>
  <c r="E24" i="17" s="1"/>
  <c r="F24" i="17" s="1"/>
  <c r="G24" i="17" s="1"/>
  <c r="H24" i="17" s="1"/>
  <c r="F18" i="17"/>
  <c r="G18" i="17" s="1"/>
  <c r="H18" i="17" s="1"/>
  <c r="F20" i="17"/>
  <c r="G20" i="17" s="1"/>
  <c r="H20" i="17" s="1"/>
  <c r="F19" i="17"/>
  <c r="G19" i="17" s="1"/>
  <c r="H19" i="17" s="1"/>
  <c r="F21" i="17"/>
  <c r="G21" i="17" s="1"/>
  <c r="H21" i="17" s="1"/>
  <c r="D20" i="4" l="1"/>
  <c r="C33" i="4" s="1"/>
  <c r="B22" i="17"/>
  <c r="E22" i="17" s="1"/>
  <c r="F22" i="17" s="1"/>
  <c r="G22" i="17" s="1"/>
  <c r="H22" i="17" s="1"/>
  <c r="K27" i="9"/>
  <c r="L27" i="9" s="1"/>
  <c r="J29" i="9"/>
  <c r="I29" i="9" s="1"/>
  <c r="K22" i="4" l="1"/>
  <c r="F31" i="17"/>
  <c r="E31" i="17"/>
  <c r="B31" i="17"/>
  <c r="B37" i="17" s="1"/>
  <c r="G31" i="17"/>
  <c r="I13" i="17" s="1"/>
  <c r="H31" i="17"/>
  <c r="I23" i="17" l="1"/>
  <c r="J23" i="17" s="1"/>
  <c r="I18" i="17"/>
  <c r="J18" i="17" s="1"/>
  <c r="I19" i="17"/>
  <c r="J19" i="17" s="1"/>
  <c r="I21" i="17"/>
  <c r="J21" i="17" s="1"/>
  <c r="I28" i="17"/>
  <c r="J28" i="17" s="1"/>
  <c r="I20" i="17"/>
  <c r="J20" i="17" s="1"/>
  <c r="I27" i="17"/>
  <c r="J27" i="17" s="1"/>
  <c r="I25" i="17"/>
  <c r="J25" i="17" s="1"/>
  <c r="I26" i="17"/>
  <c r="J26" i="17" s="1"/>
  <c r="I24" i="17"/>
  <c r="J24" i="17" s="1"/>
  <c r="I22" i="17"/>
  <c r="J22" i="17" s="1"/>
  <c r="M18" i="17" l="1"/>
  <c r="N18" i="17" s="1"/>
  <c r="M22" i="17"/>
  <c r="N22" i="17" s="1"/>
  <c r="M24" i="17"/>
  <c r="N24" i="17" s="1"/>
  <c r="M20" i="17"/>
  <c r="N20" i="17" s="1"/>
  <c r="M21" i="17"/>
  <c r="N21" i="17" s="1"/>
  <c r="M28" i="17"/>
  <c r="N28" i="17" s="1"/>
  <c r="M19" i="17"/>
  <c r="N19" i="17" s="1"/>
  <c r="M23" i="17"/>
  <c r="N23" i="17" s="1"/>
  <c r="M25" i="17"/>
  <c r="N25" i="17" s="1"/>
  <c r="M26" i="17"/>
  <c r="N26" i="17" s="1"/>
  <c r="M27" i="17"/>
  <c r="N27" i="17" s="1"/>
  <c r="I31" i="17"/>
  <c r="I14" i="17" s="1"/>
  <c r="J14" i="17" s="1"/>
  <c r="J31" i="17" l="1"/>
  <c r="M31" i="17"/>
  <c r="N31" i="17"/>
  <c r="I37" i="17"/>
  <c r="N37" i="17" l="1"/>
  <c r="J37" i="17"/>
</calcChain>
</file>

<file path=xl/sharedStrings.xml><?xml version="1.0" encoding="utf-8"?>
<sst xmlns="http://schemas.openxmlformats.org/spreadsheetml/2006/main" count="317" uniqueCount="248">
  <si>
    <t>$</t>
  </si>
  <si>
    <t>; and</t>
  </si>
  <si>
    <t>County</t>
  </si>
  <si>
    <t>ILLINOIS STATE BOARD OF EDUCATION</t>
  </si>
  <si>
    <t>School Business and Support Services Division</t>
  </si>
  <si>
    <t>CERTIFICATE OF TAX LEVY</t>
  </si>
  <si>
    <t>See explanation on reverse side.</t>
  </si>
  <si>
    <t>We hereby certify that we require:</t>
  </si>
  <si>
    <t>.</t>
  </si>
  <si>
    <t>(Detach and Return to School District)</t>
  </si>
  <si>
    <t>Password:</t>
  </si>
  <si>
    <t>CTL02</t>
  </si>
  <si>
    <t>,</t>
  </si>
  <si>
    <t>dollars to be levied as a special tax for educational purposes; and</t>
  </si>
  <si>
    <t xml:space="preserve">A copy of this Certificate of Tax Levy shall be filed with the County Clerk of each county in which the school district is located </t>
  </si>
  <si>
    <t>on or before the last Tuesday of December.</t>
  </si>
  <si>
    <t>District Name</t>
  </si>
  <si>
    <t>District Number</t>
  </si>
  <si>
    <t>Amount of Levy</t>
  </si>
  <si>
    <t>Educational</t>
  </si>
  <si>
    <t>Transportation</t>
  </si>
  <si>
    <t>Working Cash</t>
  </si>
  <si>
    <t>Municipal Retirement</t>
  </si>
  <si>
    <t>Social Security</t>
  </si>
  <si>
    <t>Tort Immunity</t>
  </si>
  <si>
    <t>Special Education</t>
  </si>
  <si>
    <t>Leasing</t>
  </si>
  <si>
    <t>Total Levy</t>
  </si>
  <si>
    <t xml:space="preserve">*  Includes Fire Prevention, Safety, Energy Conservation, Disabled Accessibility, School Security, </t>
  </si>
  <si>
    <t xml:space="preserve">   and Specified Repair Purposes.</t>
  </si>
  <si>
    <t xml:space="preserve">the sum of </t>
  </si>
  <si>
    <t>dollars to be levied as a special tax for operations and maintenance purposes; and</t>
  </si>
  <si>
    <t>dollars to be levied as a special tax for transportation purposes; and</t>
  </si>
  <si>
    <t>dollars to be levied as a special tax for municipal retirement purposes; and</t>
  </si>
  <si>
    <t>dollars to be levied as a special tax for a working cash fund; and</t>
  </si>
  <si>
    <t>dollars to be levied as a special tax for social security purposes; and</t>
  </si>
  <si>
    <t>dollars to be levied as a special tax for tort immunity purposes; and</t>
  </si>
  <si>
    <t>dollars to be levied as a special tax for special education purposes; and</t>
  </si>
  <si>
    <t xml:space="preserve">dollars to be levied as a special tax for leasing of educational facilities </t>
  </si>
  <si>
    <t>(President)</t>
  </si>
  <si>
    <t>(Clerk or Secretary of the School Board of Said School District)</t>
  </si>
  <si>
    <t>was filed in the office of the County Clerk of this County on</t>
  </si>
  <si>
    <t>(Signature of County Clerk)</t>
  </si>
  <si>
    <t>(County)</t>
  </si>
  <si>
    <t>(Date)</t>
  </si>
  <si>
    <t>dollars to be levied as a special tax for fire prevention, safety, energy conservation,</t>
  </si>
  <si>
    <t>disabled accessibility, school security and specified repair purposes; and</t>
  </si>
  <si>
    <t>Operations &amp; Maintenance</t>
  </si>
  <si>
    <t xml:space="preserve">educational purposes, upon all the taxable property of the district at the value, as equalized or assessed by the Department of </t>
  </si>
  <si>
    <t>Revenue (Section 17-2 of the School Code).</t>
  </si>
  <si>
    <t>by the Department of Revenue (Section 17-2 of the School Code).</t>
  </si>
  <si>
    <t xml:space="preserve">The school board of any school district having a population of less than 500,000 inhabitants may levy a tax annually, for </t>
  </si>
  <si>
    <t>Working Cash Fund Tax upon all the taxable property of the district, annually  (Section 20-3 of the School Code).</t>
  </si>
  <si>
    <t>The school board of any school district having a population of less than 500,000 inhabitants may levy a tax upon all the</t>
  </si>
  <si>
    <t>The school board of any school district having a population of less than 500,000 inhabitants, by proper resolution, may levy</t>
  </si>
  <si>
    <t xml:space="preserve">an annual tax upon the full, fair cash value as equalized or assessed by the Department of Revenue for special education </t>
  </si>
  <si>
    <t xml:space="preserve">The school board of any school district having a population of less than 500,000 inhabitants, with voter approval, may levy </t>
  </si>
  <si>
    <t xml:space="preserve">The school board of any school district having a population of less than 500,000 inhabitants may, by proper resolution, levy </t>
  </si>
  <si>
    <t>The school board of any school district having a population of less than 500,000 inhabitants may levy an annual tax not to</t>
  </si>
  <si>
    <t xml:space="preserve">The school board of any school district, upon determining that a surplus of funds is available, shall adopt a resolution or </t>
  </si>
  <si>
    <t>ILCS 200/18-20).</t>
  </si>
  <si>
    <t>The Truth in Taxation Law affects all units of local government, school districts, and community colleges, including home rule</t>
  </si>
  <si>
    <t>EXPLANATION</t>
  </si>
  <si>
    <t>The school board of any school district having a population of less than 500,000 inhabitants may levy a tax annually, for</t>
  </si>
  <si>
    <t xml:space="preserve">The school board of any school district having a population of less than 500,000 inhabitants may levy a tax known as a </t>
  </si>
  <si>
    <t>The school board of any school district may levy a tax for social security (includes Medicare only) purposes in a sum</t>
  </si>
  <si>
    <t>taxable property of the district at the value as equalized or assessed by the Department of Revenue for the purposes of</t>
  </si>
  <si>
    <t>purposes including the purposes authorized by Section 10-22.31b and Section 17-2.2a of the School Code.</t>
  </si>
  <si>
    <t xml:space="preserve">operations and maintenance purposes, upon all the taxable property of the district at the value, as equalized or assessed </t>
  </si>
  <si>
    <t>of Revenue (Section 17-2 of the School Code).</t>
  </si>
  <si>
    <t>The school board of any school district may levy a tax for municipal retirement purposes in a sum sufficient to provide all the</t>
  </si>
  <si>
    <t>contributions required of the school district by including the amount to be levied for such purposes in the Certificate of Tax Levy</t>
  </si>
  <si>
    <t>for other school taxes, or such district may file with the county clerk a separate certificate or resolution setting forth the amount</t>
  </si>
  <si>
    <t>of tax to be levied for such purpose (40 ILCS 5/7-171).</t>
  </si>
  <si>
    <t>sufficient to provide all the contributions required of the school district by including the amount to be levied for such purposes</t>
  </si>
  <si>
    <t>in the Certificate of Tax Levy for other taxes, or such district may file with the county clerk a separate certificate or resolution</t>
  </si>
  <si>
    <t>setting forth the amount of tax to be levied for such purpose (40 ILCS 5/21-110, 21-110.1).</t>
  </si>
  <si>
    <t>purposes in a sum sufficient to pay the costs of purchasing such insurance or sufficient to pay any tort judgment, settlement,</t>
  </si>
  <si>
    <t>or insurance imposed upon it under the Local Government and Governmental Employees Tort Immunity Act including liabilities</t>
  </si>
  <si>
    <t>and Section 17-2.5 of the School Code).</t>
  </si>
  <si>
    <t>assessed by the Department of Revenue within the district for a capital improvement fund (which levy is in addition to that for</t>
  </si>
  <si>
    <t>building purposes) and such fund is to be levied, accumulated, and spent only in accordance with Section 17-2.3 of the School</t>
  </si>
  <si>
    <t>Code.</t>
  </si>
  <si>
    <t>a tax annually, for summer school purposes, upon all the taxable property of the district at the value, as equalized or assessed</t>
  </si>
  <si>
    <t>by the Department of Revenue (Section 17-2.1 of the School Code).</t>
  </si>
  <si>
    <t>an annual tax upon the value as equalized or assessed by the Department of Revenue for a period of not more than five years</t>
  </si>
  <si>
    <t>upon the condition that there are not sufficient funds available in the operations and maintenance fund of the district to pay the</t>
  </si>
  <si>
    <t>cost thereof.  Such tax shall not be levied without the prior approval of the State Superintendent of Education and prior approval</t>
  </si>
  <si>
    <t>by a majority of the electors voting upon the proposition at a general or special election (Section 17-2.4 of the School Code).</t>
  </si>
  <si>
    <t>exceed 0.05% upon the taxable property, as equalized or assessed by the Department of Revenue, for the purposes of leasing</t>
  </si>
  <si>
    <t xml:space="preserve">certify the action to the county clerk who shall abate the levy in accordance with the provision of the ordinance (35 </t>
  </si>
  <si>
    <t>Original:</t>
  </si>
  <si>
    <t>Amended:</t>
  </si>
  <si>
    <r>
      <t xml:space="preserve">Fire Prevention &amp; Safety  </t>
    </r>
    <r>
      <rPr>
        <b/>
        <sz val="9"/>
        <rFont val="Arial"/>
        <family val="2"/>
      </rPr>
      <t>*</t>
    </r>
  </si>
  <si>
    <t>the provisions set forth in the Truth in Taxation Law.</t>
  </si>
  <si>
    <t xml:space="preserve">dollars to be levied as a special tax for </t>
  </si>
  <si>
    <t xml:space="preserve">Signed this </t>
  </si>
  <si>
    <t>County,</t>
  </si>
  <si>
    <t>professional surveys, alterations, and reconstruction for fire prevention, safety, energy conservation, disabled accessibility,</t>
  </si>
  <si>
    <t>school security, and specified repair purposes upon meeting certain statutory conditions (Section 17-2.11 of the School Code).</t>
  </si>
  <si>
    <t>under the Workers' Compensation Act, Occupational Diseases Act, or the Unemployment Insurance Act 745 ILCS 10/9-107</t>
  </si>
  <si>
    <t>Number of bond issues of said school district that have not been paid in full</t>
  </si>
  <si>
    <t>This is to certify that the Certificate of Tax Levy for School District No.</t>
  </si>
  <si>
    <t>In addition to an extension of taxes authorized by levies made by the Board of Education (Directors), an additional extension(s)</t>
  </si>
  <si>
    <t>ordinance reducing the tax levy of such district for the year for which the resolution or ordinance is adopted.  The district shall</t>
  </si>
  <si>
    <t xml:space="preserve">on the taxable property of our school district for the year </t>
  </si>
  <si>
    <t>day of</t>
  </si>
  <si>
    <t xml:space="preserve">Illinois, on the equalized assesed value of all taxable property of said school district for the year </t>
  </si>
  <si>
    <t>When any school is authorized to issue bonds, the school board shall file a certified copy of the resolution in the office of the county clerk of each county in which the district is</t>
  </si>
  <si>
    <t>situated to provide for the issuance of the bonds and to levy a tax to pay for them.  The county clerk shall extend the tax for bonds and interest as set forth in the certified copy</t>
  </si>
  <si>
    <t>of the resolution, each year during the life of the bond issue.  Therefore to avoid a possible duplication of tax levies, the school board should not include a levy for bonds and</t>
  </si>
  <si>
    <t>interest in the district's annual tax levy.</t>
  </si>
  <si>
    <t>217/785-8779</t>
  </si>
  <si>
    <t>, is</t>
  </si>
  <si>
    <t>The total levy, as provided in the original resolution(s), for said purposes for the year</t>
  </si>
  <si>
    <t>The school board of any school district may levy, with voter approval, a tax upon the full, fair cash value as equalized or</t>
  </si>
  <si>
    <t>The school board of any school district may levy a tax upon all the taxable property within the district for tort immunity</t>
  </si>
  <si>
    <t xml:space="preserve">units, who are authorized to levy property taxes.  For the requirements of the law, refer to 35 ILCS 200/18-55 et seq.  </t>
  </si>
  <si>
    <t>or computer technology or both, and temporary relocation expense purposes; and</t>
  </si>
  <si>
    <t>educational facilities or computer technology or both, and for temporary relocation expense (Section 17-2.2c of the School Code).</t>
  </si>
  <si>
    <t xml:space="preserve">will be made, as authorized by resolution(s) on file in this office, to provide funds to retire bonds and pay interest thereon.  </t>
  </si>
  <si>
    <t>Note:     Any district proposing to adopt a levy must comply with</t>
  </si>
  <si>
    <t xml:space="preserve">transportation purposes, upon all the taxable property of the district at the value, as equalized or assessed by the Department </t>
  </si>
  <si>
    <t>for area vocational education building purposes including the purposes authorized by Section 10-22.31b of the School Code,</t>
  </si>
  <si>
    <t>LEVY INPUT PAGE - ASSUMPTIONS</t>
  </si>
  <si>
    <t>Fill out County names as needed - leave other boxes blank</t>
  </si>
  <si>
    <t>Enter "x" in one box only</t>
  </si>
  <si>
    <t>Limiting Rate:</t>
  </si>
  <si>
    <t>Truth in Taxation</t>
  </si>
  <si>
    <t xml:space="preserve">  Accessibility, School Security, and Specified Repair Purposes.</t>
  </si>
  <si>
    <t>*  Includes Fire Prevention, Safety, Energy Conservation, Disabled</t>
  </si>
  <si>
    <t>(Prior Year Extension x (1+Lesser of 5% or CPI))</t>
  </si>
  <si>
    <t>Yes</t>
  </si>
  <si>
    <t>No</t>
  </si>
  <si>
    <t>x</t>
  </si>
  <si>
    <t xml:space="preserve"> </t>
  </si>
  <si>
    <t>copy of ISBE Form 50-02 (08/2009) ctl2009.xls</t>
  </si>
  <si>
    <t>Follow these steps to view and set the macro security level in Excel 2010:</t>
  </si>
  <si>
    <r>
      <t>1.</t>
    </r>
    <r>
      <rPr>
        <b/>
        <sz val="12"/>
        <color indexed="63"/>
        <rFont val="Times New Roman"/>
        <family val="1"/>
      </rPr>
      <t xml:space="preserve">     </t>
    </r>
    <r>
      <rPr>
        <b/>
        <sz val="12"/>
        <color indexed="63"/>
        <rFont val="Arial"/>
        <family val="2"/>
      </rPr>
      <t>Click the File tab and then click Options.</t>
    </r>
  </si>
  <si>
    <r>
      <t>2.</t>
    </r>
    <r>
      <rPr>
        <sz val="12"/>
        <color indexed="63"/>
        <rFont val="Times New Roman"/>
        <family val="1"/>
      </rPr>
      <t xml:space="preserve">     </t>
    </r>
    <r>
      <rPr>
        <b/>
        <sz val="12"/>
        <color indexed="63"/>
        <rFont val="Arial"/>
        <family val="2"/>
      </rPr>
      <t>Click the Trust Center tab and then click the Trust Center Settings button.</t>
    </r>
  </si>
  <si>
    <t>The Trust Center dialog box appears with the Macro Settings tab selected.</t>
  </si>
  <si>
    <r>
      <t>Select a security level:</t>
    </r>
    <r>
      <rPr>
        <b/>
        <sz val="9"/>
        <color indexed="63"/>
        <rFont val="Arial"/>
        <family val="2"/>
      </rPr>
      <t xml:space="preserve"> Enable all macros</t>
    </r>
  </si>
  <si>
    <r>
      <t>3.</t>
    </r>
    <r>
      <rPr>
        <b/>
        <sz val="12"/>
        <color indexed="63"/>
        <rFont val="Times New Roman"/>
        <family val="1"/>
      </rPr>
      <t xml:space="preserve">     </t>
    </r>
    <r>
      <rPr>
        <b/>
        <sz val="12"/>
        <color indexed="63"/>
        <rFont val="Arial"/>
        <family val="2"/>
      </rPr>
      <t>Close the excel file, reopen the file.</t>
    </r>
  </si>
  <si>
    <t>Follow these steps to view and set the macro security level in Excel 2007:</t>
  </si>
  <si>
    <r>
      <t>2.</t>
    </r>
    <r>
      <rPr>
        <sz val="12"/>
        <color indexed="23"/>
        <rFont val="Times New Roman"/>
        <family val="1"/>
      </rPr>
      <t xml:space="preserve">         </t>
    </r>
    <r>
      <rPr>
        <sz val="12"/>
        <color indexed="23"/>
        <rFont val="Segoe UI"/>
        <family val="2"/>
      </rPr>
      <t xml:space="preserve">Click </t>
    </r>
    <r>
      <rPr>
        <b/>
        <sz val="12"/>
        <color indexed="23"/>
        <rFont val="Segoe UI"/>
        <family val="2"/>
      </rPr>
      <t>Trust Center</t>
    </r>
    <r>
      <rPr>
        <sz val="12"/>
        <color indexed="23"/>
        <rFont val="Segoe UI"/>
        <family val="2"/>
      </rPr>
      <t xml:space="preserve">, click </t>
    </r>
    <r>
      <rPr>
        <b/>
        <sz val="12"/>
        <color indexed="23"/>
        <rFont val="Segoe UI"/>
        <family val="2"/>
      </rPr>
      <t>Trust Center Settings</t>
    </r>
    <r>
      <rPr>
        <sz val="12"/>
        <color indexed="23"/>
        <rFont val="Segoe UI"/>
        <family val="2"/>
      </rPr>
      <t xml:space="preserve">, and then click </t>
    </r>
    <r>
      <rPr>
        <b/>
        <sz val="12"/>
        <color indexed="23"/>
        <rFont val="Segoe UI"/>
        <family val="2"/>
      </rPr>
      <t>Macro Settings</t>
    </r>
    <r>
      <rPr>
        <sz val="12"/>
        <color indexed="23"/>
        <rFont val="Segoe UI"/>
        <family val="2"/>
      </rPr>
      <t>.</t>
    </r>
  </si>
  <si>
    <r>
      <t>3.</t>
    </r>
    <r>
      <rPr>
        <sz val="12"/>
        <color indexed="23"/>
        <rFont val="Times New Roman"/>
        <family val="1"/>
      </rPr>
      <t xml:space="preserve">         </t>
    </r>
    <r>
      <rPr>
        <sz val="12"/>
        <color indexed="23"/>
        <rFont val="Segoe UI"/>
        <family val="2"/>
      </rPr>
      <t>Click the options that you want:</t>
    </r>
  </si>
  <si>
    <r>
      <t>·</t>
    </r>
    <r>
      <rPr>
        <sz val="12"/>
        <color indexed="23"/>
        <rFont val="Times New Roman"/>
        <family val="1"/>
      </rPr>
      <t xml:space="preserve">         </t>
    </r>
    <r>
      <rPr>
        <b/>
        <sz val="12"/>
        <color indexed="23"/>
        <rFont val="Segoe UI"/>
        <family val="2"/>
      </rPr>
      <t>Enable all macros (not recommended, potentially dangerous code can run)</t>
    </r>
  </si>
  <si>
    <r>
      <t>·</t>
    </r>
    <r>
      <rPr>
        <sz val="12"/>
        <color indexed="23"/>
        <rFont val="Times New Roman"/>
        <family val="1"/>
      </rPr>
      <t xml:space="preserve">         </t>
    </r>
    <r>
      <rPr>
        <sz val="12"/>
        <color indexed="23"/>
        <rFont val="Segoe UI"/>
        <family val="2"/>
      </rPr>
      <t>Disable all macros without notification</t>
    </r>
  </si>
  <si>
    <r>
      <t>·</t>
    </r>
    <r>
      <rPr>
        <sz val="12"/>
        <color indexed="23"/>
        <rFont val="Times New Roman"/>
        <family val="1"/>
      </rPr>
      <t xml:space="preserve">         </t>
    </r>
    <r>
      <rPr>
        <sz val="12"/>
        <color indexed="23"/>
        <rFont val="Segoe UI"/>
        <family val="2"/>
      </rPr>
      <t>Disable all macros with notification</t>
    </r>
  </si>
  <si>
    <r>
      <t>·</t>
    </r>
    <r>
      <rPr>
        <sz val="12"/>
        <color indexed="23"/>
        <rFont val="Times New Roman"/>
        <family val="1"/>
      </rPr>
      <t xml:space="preserve">         </t>
    </r>
    <r>
      <rPr>
        <sz val="12"/>
        <color indexed="23"/>
        <rFont val="Segoe UI"/>
        <family val="2"/>
      </rPr>
      <t>Disable all macros except digitally signed macros </t>
    </r>
  </si>
  <si>
    <r>
      <t>·</t>
    </r>
    <r>
      <rPr>
        <sz val="12"/>
        <color indexed="23"/>
        <rFont val="Times New Roman"/>
        <family val="1"/>
      </rPr>
      <t xml:space="preserve">         </t>
    </r>
    <r>
      <rPr>
        <sz val="12"/>
        <color indexed="23"/>
        <rFont val="Segoe UI"/>
        <family val="2"/>
      </rPr>
      <t>Trust access to the VBA project object model </t>
    </r>
  </si>
  <si>
    <r>
      <t>1.</t>
    </r>
    <r>
      <rPr>
        <sz val="12"/>
        <color indexed="23"/>
        <rFont val="Times New Roman"/>
        <family val="1"/>
      </rPr>
      <t xml:space="preserve">         </t>
    </r>
    <r>
      <rPr>
        <sz val="12"/>
        <color indexed="23"/>
        <rFont val="Segoe UI"/>
        <family val="2"/>
      </rPr>
      <t xml:space="preserve">Click the </t>
    </r>
    <r>
      <rPr>
        <b/>
        <sz val="12"/>
        <color indexed="23"/>
        <rFont val="Segoe UI"/>
        <family val="2"/>
      </rPr>
      <t>Microsoft Office Button           and then click Excel Options.</t>
    </r>
  </si>
  <si>
    <t xml:space="preserve">Please read the "Discalimer" worksheet.  Use of this workbook represents acceptance of the terms of the Disclaimer.  </t>
  </si>
  <si>
    <t>(Note:  This notice will not print with the rest of the page.)</t>
  </si>
  <si>
    <t xml:space="preserve"> This Includes Abatements for the Property Tax Relief Grant</t>
  </si>
  <si>
    <r>
      <t xml:space="preserve"> Include Abatements for Truth in Taxation </t>
    </r>
    <r>
      <rPr>
        <sz val="10"/>
        <rFont val="Times New Roman"/>
        <family val="1"/>
      </rPr>
      <t>(35 ILCS 200/18-70)</t>
    </r>
  </si>
  <si>
    <t>(Total EAV - New Property)</t>
  </si>
  <si>
    <t>District Assumptions &amp; Data Entry</t>
  </si>
  <si>
    <t>Calculated Values</t>
  </si>
  <si>
    <t>Legend</t>
  </si>
  <si>
    <t>Original Assumptions</t>
  </si>
  <si>
    <t xml:space="preserve"> Lake County Only</t>
  </si>
  <si>
    <t xml:space="preserve"> Includes Loss % Added by County Clerk(s)</t>
  </si>
  <si>
    <t>Review Needed</t>
  </si>
  <si>
    <t xml:space="preserve"> Includes New Property</t>
  </si>
  <si>
    <t>Scenario Assumptions</t>
  </si>
  <si>
    <t xml:space="preserve">District Number </t>
  </si>
  <si>
    <t xml:space="preserve">District Name </t>
  </si>
  <si>
    <t xml:space="preserve">County 2 </t>
  </si>
  <si>
    <t xml:space="preserve">County 3 </t>
  </si>
  <si>
    <t xml:space="preserve">County 4 </t>
  </si>
  <si>
    <t xml:space="preserve">PTELL - Tax Capped </t>
  </si>
  <si>
    <t xml:space="preserve">Original Tax Levy Certificate </t>
  </si>
  <si>
    <t xml:space="preserve">Amended Tax Levy Certificate </t>
  </si>
  <si>
    <t xml:space="preserve">Consumer Price Index </t>
  </si>
  <si>
    <t xml:space="preserve">Total % Change From Prior Year </t>
  </si>
  <si>
    <t xml:space="preserve">No. of Tax Levied Bond Issues Outstanding </t>
  </si>
  <si>
    <t xml:space="preserve">Tax Levy Year </t>
  </si>
  <si>
    <t xml:space="preserve">Educational </t>
  </si>
  <si>
    <t xml:space="preserve">Operations &amp; Maintenance </t>
  </si>
  <si>
    <t xml:space="preserve">Transportation </t>
  </si>
  <si>
    <t xml:space="preserve">Working Cash </t>
  </si>
  <si>
    <t xml:space="preserve">Municipal Retirement </t>
  </si>
  <si>
    <t xml:space="preserve">Social Security </t>
  </si>
  <si>
    <t xml:space="preserve">Fire Prevention &amp; Safety * </t>
  </si>
  <si>
    <t xml:space="preserve">Tort Immunity </t>
  </si>
  <si>
    <t xml:space="preserve">Special Education </t>
  </si>
  <si>
    <t xml:space="preserve">Leasing </t>
  </si>
  <si>
    <t xml:space="preserve">Custom Fund Name </t>
  </si>
  <si>
    <t>Prior Year Extension</t>
  </si>
  <si>
    <t xml:space="preserve">Limiting Rate </t>
  </si>
  <si>
    <t xml:space="preserve">Estimated Capped Extension </t>
  </si>
  <si>
    <t xml:space="preserve">Estimated SEDOL IMRF Levy </t>
  </si>
  <si>
    <t xml:space="preserve">Estimated Bond and Interest Levy </t>
  </si>
  <si>
    <t xml:space="preserve">Total Levy </t>
  </si>
  <si>
    <t xml:space="preserve">Aggregate or County 1 </t>
  </si>
  <si>
    <r>
      <rPr>
        <b/>
        <u/>
        <sz val="10"/>
        <rFont val="Times New Roman"/>
        <family val="1"/>
      </rPr>
      <t>Critical Assumptions</t>
    </r>
    <r>
      <rPr>
        <b/>
        <sz val="10"/>
        <rFont val="Times New Roman"/>
        <family val="1"/>
      </rPr>
      <t xml:space="preserve"> - Formulas in this workbook are dependent on assumptions entered for PTELL &amp; Cook County questions</t>
    </r>
  </si>
  <si>
    <t xml:space="preserve">Cook County Prior Year EAV Limit </t>
  </si>
  <si>
    <t xml:space="preserve"> Enter District Name</t>
  </si>
  <si>
    <t xml:space="preserve"> Enter District Number</t>
  </si>
  <si>
    <t xml:space="preserve"> Choose Yes or No</t>
  </si>
  <si>
    <t xml:space="preserve"> Enter Estimated New Property</t>
  </si>
  <si>
    <t xml:space="preserve"> Enter Reassessment Percentage Before New Property</t>
  </si>
  <si>
    <t xml:space="preserve"> Flow-through to Certificate of Tax Levy, Verify Records with County Clerk(s)</t>
  </si>
  <si>
    <t xml:space="preserve"> Enter What If...? Existing EAV Assumption or, Final Actual to Stress Test the Levy</t>
  </si>
  <si>
    <t xml:space="preserve"> Enter What If...? New Property Assumption or, Final Actual to Stress Test the Levy</t>
  </si>
  <si>
    <t xml:space="preserve">Capped Extension </t>
  </si>
  <si>
    <t xml:space="preserve">Reduction Factor </t>
  </si>
  <si>
    <t xml:space="preserve"> Does This Levy Capture All Available Property Taxes Under These Assumptions?</t>
  </si>
  <si>
    <t>County Loss %</t>
  </si>
  <si>
    <t>Final Tax Rate</t>
  </si>
  <si>
    <t>Spring Extension Adjustment Between Funds</t>
  </si>
  <si>
    <t>Final Adjusted Extension</t>
  </si>
  <si>
    <t>Final Adjusted Tax Rate</t>
  </si>
  <si>
    <t xml:space="preserve"> (Lake County Only, Included in Truth in Taxation Calculation)</t>
  </si>
  <si>
    <t>(County Clerk Levies Bond &amp; Interest for the District, Verify Records with County Clerk)</t>
  </si>
  <si>
    <t>Total Levy with County Loss %</t>
  </si>
  <si>
    <t xml:space="preserve"> Enter County 2 Name to Itemize County Extension Below</t>
  </si>
  <si>
    <t xml:space="preserve"> Enter County 4 Name to Itemize County Extension Below</t>
  </si>
  <si>
    <t xml:space="preserve"> Enter County 3 Name to Itemize County Extension Below</t>
  </si>
  <si>
    <t xml:space="preserve"> Enter County 1 Name or Enter "Aggregate" to enter Aggregate Extension Below</t>
  </si>
  <si>
    <t xml:space="preserve">Input Statutory Maximum Tax Rate </t>
  </si>
  <si>
    <t>Statutory Maximum Tax Rate</t>
  </si>
  <si>
    <t>Truth in Taxation Required</t>
  </si>
  <si>
    <r>
      <t xml:space="preserve">SEDOL IMRF </t>
    </r>
    <r>
      <rPr>
        <b/>
        <sz val="10"/>
        <rFont val="Times New Roman"/>
        <family val="1"/>
      </rPr>
      <t xml:space="preserve">(Lake County Only) </t>
    </r>
  </si>
  <si>
    <t>Does Levy Amount Exceed Estimated Maximum Extension?</t>
  </si>
  <si>
    <t>Scenario Calculated Tax Rate</t>
  </si>
  <si>
    <t xml:space="preserve">Bond &amp; Interest Extension </t>
  </si>
  <si>
    <t xml:space="preserve">Total Extension </t>
  </si>
  <si>
    <t>Actual Total Extension/Rate</t>
  </si>
  <si>
    <t xml:space="preserve">Bond &amp; Interest Levy </t>
  </si>
  <si>
    <t>Current Levy Amount</t>
  </si>
  <si>
    <t xml:space="preserve">Actual Bond &amp; Interest Extension/Rate </t>
  </si>
  <si>
    <t xml:space="preserve">Bond &amp; Int. Levy </t>
  </si>
  <si>
    <t>SEDOL IMRF Levy</t>
  </si>
  <si>
    <t xml:space="preserve">SEDOL IMRF Levy </t>
  </si>
  <si>
    <t xml:space="preserve">SEDOL IMRF Extension </t>
  </si>
  <si>
    <t>Original Estimate</t>
  </si>
  <si>
    <t>Scenario Actual</t>
  </si>
  <si>
    <t xml:space="preserve">Actual SEDOL IMRF Extension/Rate </t>
  </si>
  <si>
    <t>Levy Increase %</t>
  </si>
  <si>
    <t xml:space="preserve">Final Levy Amount </t>
  </si>
  <si>
    <t>Note, do not include PTAB adjustments added to the extension pursuant to Public Act 102-0519.</t>
  </si>
  <si>
    <t xml:space="preserve">Eswood CCSD </t>
  </si>
  <si>
    <t>Ogle</t>
  </si>
  <si>
    <t>DeKalb</t>
  </si>
  <si>
    <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</si>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</sst>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3" formatCode="_(* #,##0.00_);_(* \(#,##0.00\);_(* &quot;-&quot;??_);_(@_)"/>
    <numFmt numFmtId="164" formatCode="&quot;$&quot;#,##0"/>
    <numFmt numFmtId="165" formatCode="0#\-###\-####\-##"/>
    <numFmt numFmtId="166" formatCode="[$$-409]#,##0.00_);[Red]\([$$-409]#,##0.00\)"/>
    <numFmt numFmtId="167" formatCode="0.000%"/>
    <numFmt numFmtId="168" formatCode="[$$-409]#,##0.00_);\([$$-409]#,##0.00\)"/>
    <numFmt numFmtId="169" formatCode="[$$-409]#,##0_);[Red]\([$$-409]#,##0\)"/>
    <numFmt numFmtId="170" formatCode="0.0000%"/>
    <numFmt numFmtId="171" formatCode="0.0000"/>
    <numFmt numFmtId="172" formatCode="[$$-409]#,##0_);\([$$-409]#,##0\)"/>
  </numFmts>
  <fonts count="52" x14ac:knownFonts="1">
    <font>
      <sz val="10"/>
      <name val="Arial"/>
    </font>
    <font>
      <sz val="10"/>
      <name val="Arial"/>
      <family val="2"/>
    </font>
    <font>
      <sz val="10"/>
      <name val="Arial"/>
      <family val="2"/>
    </font>
    <font>
      <b/>
      <sz val="10"/>
      <name val="Arial"/>
      <family val="2"/>
    </font>
    <font>
      <b/>
      <sz val="12"/>
      <name val="Arial"/>
      <family val="2"/>
    </font>
    <font>
      <b/>
      <sz val="8"/>
      <name val="Arial"/>
      <family val="2"/>
    </font>
    <font>
      <b/>
      <sz val="9"/>
      <name val="Arial"/>
      <family val="2"/>
    </font>
    <font>
      <sz val="9"/>
      <name val="Arial"/>
      <family val="2"/>
    </font>
    <font>
      <i/>
      <sz val="8"/>
      <name val="Arial"/>
      <family val="2"/>
    </font>
    <font>
      <b/>
      <i/>
      <sz val="8"/>
      <name val="Arial"/>
      <family val="2"/>
    </font>
    <font>
      <sz val="8"/>
      <name val="Arial"/>
      <family val="2"/>
    </font>
    <font>
      <sz val="7"/>
      <name val="Arial"/>
      <family val="2"/>
    </font>
    <font>
      <i/>
      <sz val="10"/>
      <name val="Arial"/>
      <family val="2"/>
    </font>
    <font>
      <b/>
      <sz val="11"/>
      <name val="Arial"/>
      <family val="2"/>
    </font>
    <font>
      <sz val="8"/>
      <name val="Arial"/>
      <family val="2"/>
    </font>
    <font>
      <sz val="7"/>
      <name val="Arial"/>
      <family val="2"/>
    </font>
    <font>
      <sz val="10"/>
      <name val="Times New Roman"/>
      <family val="1"/>
    </font>
    <font>
      <b/>
      <sz val="12"/>
      <name val="Times New Roman"/>
      <family val="1"/>
    </font>
    <font>
      <b/>
      <sz val="14"/>
      <name val="Times New Roman"/>
      <family val="1"/>
    </font>
    <font>
      <i/>
      <sz val="10"/>
      <name val="Times New Roman"/>
      <family val="1"/>
    </font>
    <font>
      <b/>
      <sz val="10"/>
      <color indexed="10"/>
      <name val="Times New Roman"/>
      <family val="1"/>
    </font>
    <font>
      <b/>
      <sz val="10"/>
      <name val="Times New Roman"/>
      <family val="1"/>
    </font>
    <font>
      <b/>
      <u/>
      <sz val="12"/>
      <name val="Times New Roman"/>
      <family val="1"/>
    </font>
    <font>
      <b/>
      <sz val="12"/>
      <color indexed="10"/>
      <name val="Times New Roman"/>
      <family val="1"/>
    </font>
    <font>
      <sz val="8"/>
      <name val="Times New Roman"/>
      <family val="1"/>
    </font>
    <font>
      <b/>
      <sz val="12"/>
      <color indexed="63"/>
      <name val="Arial"/>
      <family val="2"/>
    </font>
    <font>
      <b/>
      <sz val="12"/>
      <color indexed="63"/>
      <name val="Times New Roman"/>
      <family val="1"/>
    </font>
    <font>
      <sz val="12"/>
      <name val="Arial"/>
      <family val="2"/>
    </font>
    <font>
      <b/>
      <sz val="9"/>
      <color indexed="63"/>
      <name val="Arial"/>
      <family val="2"/>
    </font>
    <font>
      <sz val="11"/>
      <name val="Calibri"/>
      <family val="2"/>
    </font>
    <font>
      <sz val="12"/>
      <color indexed="63"/>
      <name val="Times New Roman"/>
      <family val="1"/>
    </font>
    <font>
      <sz val="12"/>
      <color indexed="23"/>
      <name val="Segoe UI"/>
      <family val="2"/>
    </font>
    <font>
      <sz val="12"/>
      <color indexed="23"/>
      <name val="Times New Roman"/>
      <family val="1"/>
    </font>
    <font>
      <b/>
      <sz val="12"/>
      <color indexed="23"/>
      <name val="Segoe UI"/>
      <family val="2"/>
    </font>
    <font>
      <sz val="14"/>
      <name val="Arial"/>
      <family val="2"/>
    </font>
    <font>
      <b/>
      <sz val="14"/>
      <name val="Arial"/>
      <family val="2"/>
    </font>
    <font>
      <b/>
      <sz val="12"/>
      <color rgb="FF333333"/>
      <name val="Arial"/>
      <family val="2"/>
    </font>
    <font>
      <sz val="9"/>
      <color rgb="FF333333"/>
      <name val="Arial"/>
      <family val="2"/>
    </font>
    <font>
      <b/>
      <sz val="9"/>
      <color rgb="FF333333"/>
      <name val="Arial"/>
      <family val="2"/>
    </font>
    <font>
      <sz val="12"/>
      <color rgb="FF333333"/>
      <name val="Arial"/>
      <family val="2"/>
    </font>
    <font>
      <sz val="7"/>
      <color rgb="FF454545"/>
      <name val="Segoe UI"/>
      <family val="2"/>
    </font>
    <font>
      <sz val="12"/>
      <color rgb="FF666666"/>
      <name val="Segoe UI"/>
      <family val="2"/>
    </font>
    <font>
      <sz val="12"/>
      <color rgb="FF666666"/>
      <name val="Symbol"/>
      <family val="1"/>
      <charset val="2"/>
    </font>
    <font>
      <b/>
      <sz val="14"/>
      <color rgb="FF333333"/>
      <name val="Arial"/>
      <family val="2"/>
    </font>
    <font>
      <b/>
      <sz val="12"/>
      <color theme="0"/>
      <name val="Times New Roman"/>
      <family val="1"/>
    </font>
    <font>
      <sz val="10"/>
      <color theme="0"/>
      <name val="Times New Roman"/>
      <family val="1"/>
    </font>
    <font>
      <i/>
      <sz val="9"/>
      <name val="Times New Roman"/>
      <family val="1"/>
    </font>
    <font>
      <b/>
      <sz val="8"/>
      <name val="Times New Roman"/>
      <family val="1"/>
    </font>
    <font>
      <b/>
      <u/>
      <sz val="10"/>
      <name val="Times New Roman"/>
      <family val="1"/>
    </font>
    <font>
      <b/>
      <sz val="10"/>
      <color theme="1"/>
      <name val="Times New Roman"/>
      <family val="1"/>
    </font>
    <font>
      <sz val="10"/>
      <color theme="1"/>
      <name val="Times New Roman"/>
      <family val="1"/>
    </font>
    <font>
      <sz val="9"/>
      <color rgb="FF474747"/>
      <name val="Arial"/>
      <family val="2"/>
    </font>
  </fonts>
  <fills count="9">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style="dashed">
        <color indexed="64"/>
      </bottom>
      <diagonal/>
    </border>
    <border>
      <left/>
      <right/>
      <top style="medium">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8">
    <xf numFmtId="0" fontId="0" fillId="0" borderId="0" xfId="0"/>
    <xf numFmtId="0" fontId="16" fillId="0" borderId="0" xfId="0" applyFont="1" applyProtection="1">
      <protection hidden="1"/>
    </xf>
    <xf numFmtId="0" fontId="17" fillId="0" borderId="0" xfId="0" applyFont="1" applyAlignment="1" applyProtection="1">
      <alignment horizontal="right"/>
      <protection hidden="1"/>
    </xf>
    <xf numFmtId="0" fontId="16" fillId="0" borderId="0" xfId="0" applyFont="1" applyAlignment="1" applyProtection="1">
      <alignment horizontal="right"/>
      <protection hidden="1"/>
    </xf>
    <xf numFmtId="166" fontId="16" fillId="0" borderId="0" xfId="0" applyNumberFormat="1" applyFont="1" applyBorder="1" applyProtection="1">
      <protection hidden="1"/>
    </xf>
    <xf numFmtId="166" fontId="17" fillId="0" borderId="0" xfId="0" applyNumberFormat="1" applyFont="1" applyFill="1" applyBorder="1" applyProtection="1">
      <protection hidden="1"/>
    </xf>
    <xf numFmtId="0" fontId="17" fillId="0" borderId="0" xfId="0" applyFont="1" applyAlignment="1" applyProtection="1">
      <alignment horizontal="right" vertical="center"/>
      <protection hidden="1"/>
    </xf>
    <xf numFmtId="167" fontId="17" fillId="0" borderId="0" xfId="2" applyNumberFormat="1" applyFont="1" applyBorder="1" applyAlignment="1" applyProtection="1">
      <alignment horizontal="center"/>
      <protection hidden="1"/>
    </xf>
    <xf numFmtId="166" fontId="17" fillId="0" borderId="0" xfId="0" applyNumberFormat="1" applyFont="1" applyBorder="1" applyAlignment="1" applyProtection="1">
      <alignment horizontal="center"/>
      <protection hidden="1"/>
    </xf>
    <xf numFmtId="0" fontId="21" fillId="0" borderId="0" xfId="0" applyFont="1" applyAlignment="1" applyProtection="1">
      <alignment horizontal="center" wrapText="1"/>
      <protection hidden="1"/>
    </xf>
    <xf numFmtId="0" fontId="21" fillId="0" borderId="0" xfId="0" applyFont="1" applyAlignment="1" applyProtection="1">
      <alignment horizontal="center"/>
      <protection hidden="1"/>
    </xf>
    <xf numFmtId="166" fontId="16" fillId="0" borderId="2" xfId="0" applyNumberFormat="1" applyFont="1" applyBorder="1" applyProtection="1">
      <protection hidden="1"/>
    </xf>
    <xf numFmtId="166" fontId="17" fillId="0" borderId="3" xfId="0" applyNumberFormat="1" applyFont="1" applyFill="1" applyBorder="1" applyProtection="1">
      <protection hidden="1"/>
    </xf>
    <xf numFmtId="0" fontId="16" fillId="0" borderId="0" xfId="0" applyFont="1" applyBorder="1" applyProtection="1">
      <protection hidden="1"/>
    </xf>
    <xf numFmtId="0" fontId="0" fillId="0" borderId="0" xfId="0" applyProtection="1">
      <protection hidden="1"/>
    </xf>
    <xf numFmtId="49" fontId="7" fillId="0" borderId="0" xfId="0" applyNumberFormat="1" applyFont="1" applyBorder="1" applyAlignment="1" applyProtection="1">
      <alignment horizontal="center" vertical="center"/>
      <protection hidden="1"/>
    </xf>
    <xf numFmtId="0" fontId="3" fillId="0" borderId="0" xfId="0" applyFont="1" applyAlignment="1" applyProtection="1">
      <alignment horizontal="left" vertical="center" indent="3"/>
      <protection hidden="1"/>
    </xf>
    <xf numFmtId="0" fontId="7" fillId="0" borderId="0" xfId="0" applyFont="1" applyAlignment="1" applyProtection="1">
      <alignment horizontal="left" vertical="center" indent="1"/>
      <protection hidden="1"/>
    </xf>
    <xf numFmtId="0" fontId="0" fillId="0" borderId="1" xfId="0" applyBorder="1" applyAlignment="1" applyProtection="1">
      <alignment horizontal="center" vertical="center"/>
      <protection hidden="1"/>
    </xf>
    <xf numFmtId="0" fontId="10" fillId="0" borderId="0" xfId="0" applyFont="1" applyAlignment="1" applyProtection="1">
      <alignment horizontal="left" vertical="center" indent="4"/>
      <protection hidden="1"/>
    </xf>
    <xf numFmtId="0" fontId="10" fillId="0" borderId="0" xfId="0" applyFont="1" applyAlignment="1" applyProtection="1">
      <alignment horizontal="left" vertical="center" indent="2"/>
      <protection hidden="1"/>
    </xf>
    <xf numFmtId="0" fontId="10"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10" fillId="0" borderId="0" xfId="0" applyFont="1" applyAlignment="1" applyProtection="1">
      <alignment horizontal="left" vertical="center" indent="3"/>
      <protection hidden="1"/>
    </xf>
    <xf numFmtId="0" fontId="10" fillId="0" borderId="0" xfId="0" applyFont="1" applyAlignment="1" applyProtection="1">
      <alignment horizontal="left" indent="1"/>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left" vertical="center" indent="1"/>
      <protection hidden="1"/>
    </xf>
    <xf numFmtId="0" fontId="4" fillId="0" borderId="0" xfId="0" applyFont="1" applyAlignment="1" applyProtection="1">
      <alignment horizontal="center" vertical="center"/>
      <protection hidden="1"/>
    </xf>
    <xf numFmtId="0" fontId="9" fillId="0" borderId="0" xfId="0" applyFont="1" applyProtection="1">
      <protection hidden="1"/>
    </xf>
    <xf numFmtId="0" fontId="10" fillId="0" borderId="6" xfId="0" applyFont="1" applyBorder="1" applyAlignment="1" applyProtection="1">
      <protection hidden="1"/>
    </xf>
    <xf numFmtId="0" fontId="0" fillId="0" borderId="7" xfId="0" applyBorder="1" applyAlignment="1" applyProtection="1">
      <protection hidden="1"/>
    </xf>
    <xf numFmtId="0" fontId="10" fillId="0" borderId="6" xfId="0" applyFont="1"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Alignment="1" applyProtection="1">
      <alignment horizontal="center" vertical="center"/>
      <protection hidden="1"/>
    </xf>
    <xf numFmtId="0" fontId="1" fillId="0" borderId="0" xfId="0" applyFont="1"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165" fontId="1" fillId="0" borderId="0" xfId="0" applyNumberFormat="1" applyFont="1" applyBorder="1" applyAlignment="1" applyProtection="1">
      <alignment horizontal="left" vertical="center" indent="1"/>
      <protection hidden="1"/>
    </xf>
    <xf numFmtId="49" fontId="0" fillId="0" borderId="0" xfId="0" applyNumberFormat="1" applyBorder="1" applyAlignment="1" applyProtection="1">
      <alignment horizontal="left" vertical="center" indent="1"/>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vertical="center"/>
      <protection hidden="1"/>
    </xf>
    <xf numFmtId="0" fontId="5" fillId="0" borderId="0" xfId="0" applyFont="1" applyProtection="1">
      <protection hidden="1"/>
    </xf>
    <xf numFmtId="0" fontId="10" fillId="0" borderId="0" xfId="0" applyFont="1" applyAlignment="1" applyProtection="1">
      <alignment horizontal="right"/>
      <protection hidden="1"/>
    </xf>
    <xf numFmtId="0" fontId="0" fillId="0" borderId="0" xfId="0" applyBorder="1" applyProtection="1">
      <protection hidden="1"/>
    </xf>
    <xf numFmtId="0" fontId="10" fillId="0" borderId="0" xfId="0" applyFont="1" applyBorder="1" applyAlignment="1" applyProtection="1">
      <alignment horizontal="right"/>
      <protection hidden="1"/>
    </xf>
    <xf numFmtId="0" fontId="11" fillId="0" borderId="0" xfId="0" applyFont="1" applyAlignment="1" applyProtection="1">
      <protection hidden="1"/>
    </xf>
    <xf numFmtId="0" fontId="11" fillId="0" borderId="0" xfId="0" applyFont="1" applyAlignment="1" applyProtection="1">
      <alignment horizontal="left"/>
      <protection hidden="1"/>
    </xf>
    <xf numFmtId="0" fontId="11" fillId="0" borderId="0" xfId="0" applyFont="1" applyProtection="1">
      <protection hidden="1"/>
    </xf>
    <xf numFmtId="0" fontId="11" fillId="0" borderId="0" xfId="0" applyFont="1" applyAlignment="1" applyProtection="1">
      <alignment horizontal="left" indent="3"/>
      <protection hidden="1"/>
    </xf>
    <xf numFmtId="0" fontId="3" fillId="0" borderId="0" xfId="0" applyFont="1" applyProtection="1">
      <protection hidden="1"/>
    </xf>
    <xf numFmtId="0" fontId="7" fillId="0" borderId="0" xfId="0" applyFont="1" applyAlignment="1" applyProtection="1">
      <alignment horizontal="left"/>
      <protection hidden="1"/>
    </xf>
    <xf numFmtId="0" fontId="0" fillId="0" borderId="0" xfId="0" applyAlignment="1" applyProtection="1">
      <alignment horizontal="left"/>
      <protection hidden="1"/>
    </xf>
    <xf numFmtId="0" fontId="0" fillId="0" borderId="0" xfId="0" applyBorder="1" applyAlignment="1" applyProtection="1">
      <alignment horizontal="center" vertical="center"/>
      <protection hidden="1"/>
    </xf>
    <xf numFmtId="49" fontId="0" fillId="0" borderId="7" xfId="0" applyNumberFormat="1" applyBorder="1" applyAlignment="1" applyProtection="1">
      <alignment horizontal="center"/>
      <protection hidden="1"/>
    </xf>
    <xf numFmtId="49" fontId="0" fillId="0" borderId="0" xfId="0" applyNumberFormat="1" applyBorder="1" applyAlignment="1" applyProtection="1">
      <alignment horizontal="center" vertical="center"/>
      <protection hidden="1"/>
    </xf>
    <xf numFmtId="0" fontId="7" fillId="0" borderId="0" xfId="0" applyFont="1" applyAlignment="1" applyProtection="1">
      <alignment horizontal="left" indent="1"/>
      <protection hidden="1"/>
    </xf>
    <xf numFmtId="49" fontId="0" fillId="0" borderId="9" xfId="0" applyNumberFormat="1" applyBorder="1" applyAlignment="1" applyProtection="1">
      <alignment horizontal="center"/>
      <protection hidden="1"/>
    </xf>
    <xf numFmtId="49" fontId="0" fillId="0" borderId="9" xfId="0" applyNumberFormat="1" applyBorder="1" applyAlignment="1" applyProtection="1">
      <alignment horizontal="center" vertical="center"/>
      <protection hidden="1"/>
    </xf>
    <xf numFmtId="49" fontId="0" fillId="0" borderId="9" xfId="0" applyNumberFormat="1" applyBorder="1" applyAlignment="1" applyProtection="1">
      <alignment horizontal="left" vertical="center"/>
      <protection hidden="1"/>
    </xf>
    <xf numFmtId="0" fontId="0" fillId="0" borderId="9" xfId="0" applyBorder="1" applyProtection="1">
      <protection hidden="1"/>
    </xf>
    <xf numFmtId="0" fontId="8" fillId="0" borderId="0" xfId="0" applyFont="1" applyProtection="1">
      <protection hidden="1"/>
    </xf>
    <xf numFmtId="49" fontId="15" fillId="0" borderId="0" xfId="0" applyNumberFormat="1" applyFont="1" applyAlignment="1" applyProtection="1">
      <alignment horizontal="left" vertical="top"/>
      <protection hidden="1"/>
    </xf>
    <xf numFmtId="0" fontId="15" fillId="0" borderId="0" xfId="0" applyFont="1" applyAlignment="1" applyProtection="1">
      <alignment horizontal="left" vertical="top"/>
      <protection hidden="1"/>
    </xf>
    <xf numFmtId="0" fontId="15" fillId="0" borderId="0" xfId="0" applyFont="1" applyProtection="1">
      <protection hidden="1"/>
    </xf>
    <xf numFmtId="0" fontId="14" fillId="0" borderId="0" xfId="0" applyFont="1" applyProtection="1">
      <protection hidden="1"/>
    </xf>
    <xf numFmtId="0" fontId="6" fillId="0" borderId="0" xfId="0" applyFont="1" applyAlignment="1" applyProtection="1">
      <protection hidden="1"/>
    </xf>
    <xf numFmtId="0" fontId="0" fillId="0" borderId="0" xfId="0" applyAlignment="1" applyProtection="1">
      <protection hidden="1"/>
    </xf>
    <xf numFmtId="3" fontId="0" fillId="0" borderId="0" xfId="0" applyNumberFormat="1" applyBorder="1" applyAlignment="1" applyProtection="1">
      <alignment horizontal="left" vertical="center"/>
      <protection hidden="1"/>
    </xf>
    <xf numFmtId="3" fontId="0" fillId="0" borderId="9" xfId="0" applyNumberFormat="1" applyBorder="1" applyAlignment="1" applyProtection="1">
      <alignment horizontal="left" vertical="center"/>
      <protection hidden="1"/>
    </xf>
    <xf numFmtId="0" fontId="0" fillId="0" borderId="10" xfId="0" applyBorder="1" applyProtection="1">
      <protection hidden="1"/>
    </xf>
    <xf numFmtId="0" fontId="0" fillId="0" borderId="11" xfId="0" applyBorder="1" applyProtection="1">
      <protection hidden="1"/>
    </xf>
    <xf numFmtId="0" fontId="7" fillId="0" borderId="9" xfId="0" applyNumberFormat="1" applyFont="1" applyBorder="1" applyAlignment="1" applyProtection="1">
      <alignment horizontal="center" vertical="center"/>
      <protection hidden="1"/>
    </xf>
    <xf numFmtId="0" fontId="7" fillId="0" borderId="0" xfId="0" applyFont="1" applyProtection="1">
      <protection hidden="1"/>
    </xf>
    <xf numFmtId="0" fontId="0" fillId="0" borderId="0" xfId="0" applyBorder="1" applyAlignment="1" applyProtection="1">
      <alignment horizontal="center"/>
      <protection hidden="1"/>
    </xf>
    <xf numFmtId="38" fontId="7" fillId="0" borderId="0" xfId="0" applyNumberFormat="1" applyFont="1" applyBorder="1" applyAlignment="1" applyProtection="1">
      <alignment horizontal="left"/>
      <protection hidden="1"/>
    </xf>
    <xf numFmtId="49" fontId="0" fillId="0" borderId="9" xfId="0" applyNumberFormat="1" applyBorder="1" applyAlignment="1" applyProtection="1">
      <alignment horizontal="left"/>
      <protection hidden="1"/>
    </xf>
    <xf numFmtId="0" fontId="7" fillId="0" borderId="9" xfId="0" applyFont="1" applyBorder="1" applyAlignment="1" applyProtection="1">
      <alignment horizontal="right"/>
      <protection hidden="1"/>
    </xf>
    <xf numFmtId="3" fontId="0" fillId="0" borderId="0" xfId="0" applyNumberFormat="1" applyBorder="1" applyAlignment="1" applyProtection="1">
      <alignment horizontal="center" vertical="center"/>
      <protection hidden="1"/>
    </xf>
    <xf numFmtId="0" fontId="8" fillId="0" borderId="0" xfId="0" applyFont="1" applyBorder="1" applyAlignment="1" applyProtection="1">
      <alignment horizontal="center" vertical="top"/>
      <protection hidden="1"/>
    </xf>
    <xf numFmtId="0" fontId="12" fillId="0" borderId="0" xfId="0" applyFont="1" applyProtection="1">
      <protection hidden="1"/>
    </xf>
    <xf numFmtId="0" fontId="8" fillId="0" borderId="4" xfId="0" applyFont="1" applyBorder="1" applyAlignment="1" applyProtection="1">
      <alignment horizontal="left" indent="1"/>
      <protection hidden="1"/>
    </xf>
    <xf numFmtId="0" fontId="0" fillId="0" borderId="3" xfId="0" applyBorder="1" applyProtection="1">
      <protection hidden="1"/>
    </xf>
    <xf numFmtId="0" fontId="0" fillId="0" borderId="12" xfId="0" applyBorder="1" applyProtection="1">
      <protection hidden="1"/>
    </xf>
    <xf numFmtId="49" fontId="7" fillId="0" borderId="0" xfId="0" applyNumberFormat="1" applyFont="1" applyAlignment="1" applyProtection="1">
      <alignment horizontal="left" indent="1"/>
      <protection hidden="1"/>
    </xf>
    <xf numFmtId="49" fontId="7" fillId="0" borderId="0" xfId="0" applyNumberFormat="1" applyFont="1" applyProtection="1">
      <protection hidden="1"/>
    </xf>
    <xf numFmtId="0" fontId="16" fillId="0" borderId="0" xfId="0" applyFont="1" applyAlignment="1" applyProtection="1">
      <alignment horizontal="center"/>
      <protection hidden="1"/>
    </xf>
    <xf numFmtId="0" fontId="16" fillId="3" borderId="0" xfId="0" applyFont="1" applyFill="1" applyAlignment="1" applyProtection="1">
      <alignment horizontal="right"/>
      <protection hidden="1"/>
    </xf>
    <xf numFmtId="0" fontId="16" fillId="3" borderId="0" xfId="0" applyFont="1" applyFill="1" applyProtection="1">
      <protection hidden="1"/>
    </xf>
    <xf numFmtId="0" fontId="16" fillId="3" borderId="0" xfId="0" applyFont="1" applyFill="1" applyAlignment="1" applyProtection="1">
      <alignment horizontal="center"/>
      <protection hidden="1"/>
    </xf>
    <xf numFmtId="10" fontId="17" fillId="2" borderId="1" xfId="0" applyNumberFormat="1" applyFont="1" applyFill="1" applyBorder="1" applyAlignment="1" applyProtection="1">
      <alignment horizontal="center"/>
    </xf>
    <xf numFmtId="168" fontId="21" fillId="0" borderId="0" xfId="0" applyNumberFormat="1" applyFont="1" applyBorder="1" applyAlignment="1" applyProtection="1">
      <alignment horizontal="right"/>
    </xf>
    <xf numFmtId="166" fontId="16" fillId="2" borderId="1" xfId="0" applyNumberFormat="1" applyFont="1" applyFill="1" applyBorder="1" applyAlignment="1" applyProtection="1">
      <alignment horizontal="right"/>
    </xf>
    <xf numFmtId="0" fontId="36" fillId="0" borderId="0" xfId="0" applyFont="1" applyAlignment="1">
      <alignment horizontal="left" vertical="center" indent="2"/>
    </xf>
    <xf numFmtId="0" fontId="27" fillId="0" borderId="0" xfId="0" applyFont="1"/>
    <xf numFmtId="0" fontId="37" fillId="0" borderId="0" xfId="0" applyFont="1" applyAlignment="1">
      <alignment horizontal="left" vertical="center" indent="2"/>
    </xf>
    <xf numFmtId="0" fontId="29" fillId="0" borderId="0" xfId="0" applyFont="1" applyAlignment="1">
      <alignment horizontal="left" vertical="center" indent="2"/>
    </xf>
    <xf numFmtId="0" fontId="29" fillId="0" borderId="0" xfId="0" applyFont="1" applyAlignment="1">
      <alignment vertical="center"/>
    </xf>
    <xf numFmtId="0" fontId="38" fillId="0" borderId="0" xfId="0" applyFont="1" applyAlignment="1">
      <alignment horizontal="left"/>
    </xf>
    <xf numFmtId="0" fontId="39" fillId="0" borderId="0" xfId="0" applyFont="1" applyAlignment="1">
      <alignment horizontal="left" vertical="center" indent="2"/>
    </xf>
    <xf numFmtId="0" fontId="4" fillId="0" borderId="0" xfId="0" applyFont="1"/>
    <xf numFmtId="0" fontId="40" fillId="0" borderId="0" xfId="0" applyFont="1" applyAlignment="1">
      <alignment vertical="center"/>
    </xf>
    <xf numFmtId="0" fontId="41" fillId="0" borderId="0" xfId="0" applyFont="1" applyAlignment="1">
      <alignment horizontal="left" vertical="center" indent="12"/>
    </xf>
    <xf numFmtId="0" fontId="27" fillId="0" borderId="0" xfId="0" applyFont="1" applyAlignment="1">
      <alignment horizontal="left" indent="13"/>
    </xf>
    <xf numFmtId="0" fontId="41" fillId="0" borderId="0" xfId="0" applyFont="1" applyAlignment="1">
      <alignment horizontal="left" vertical="center" indent="14"/>
    </xf>
    <xf numFmtId="0" fontId="36" fillId="0" borderId="0" xfId="0" applyFont="1" applyAlignment="1">
      <alignment horizontal="left" vertical="center" indent="13"/>
    </xf>
    <xf numFmtId="0" fontId="4" fillId="0" borderId="0" xfId="0" applyFont="1" applyAlignment="1">
      <alignment horizontal="left" indent="13"/>
    </xf>
    <xf numFmtId="0" fontId="27" fillId="0" borderId="0" xfId="0" applyFont="1" applyAlignment="1">
      <alignment horizontal="left" indent="25"/>
    </xf>
    <xf numFmtId="0" fontId="27" fillId="0" borderId="0" xfId="0" applyFont="1" applyAlignment="1">
      <alignment horizontal="left" indent="14"/>
    </xf>
    <xf numFmtId="0" fontId="27" fillId="0" borderId="0" xfId="0" applyFont="1" applyAlignment="1">
      <alignment horizontal="left" indent="12"/>
    </xf>
    <xf numFmtId="0" fontId="42" fillId="0" borderId="0" xfId="0" applyFont="1" applyAlignment="1">
      <alignment horizontal="left" vertical="center" indent="16"/>
    </xf>
    <xf numFmtId="0" fontId="27" fillId="0" borderId="0" xfId="0" applyFont="1" applyAlignment="1">
      <alignment horizontal="left" indent="21"/>
    </xf>
    <xf numFmtId="0" fontId="36" fillId="0" borderId="0" xfId="0" applyFont="1" applyAlignment="1">
      <alignment horizontal="left" vertical="center" indent="21"/>
    </xf>
    <xf numFmtId="0" fontId="34" fillId="0" borderId="0" xfId="0" applyFont="1"/>
    <xf numFmtId="0" fontId="43" fillId="0" borderId="0" xfId="0" applyFont="1" applyAlignment="1">
      <alignment horizontal="left" vertical="center"/>
    </xf>
    <xf numFmtId="0" fontId="35" fillId="0" borderId="0" xfId="0" applyFont="1" applyAlignment="1">
      <alignment horizontal="left"/>
    </xf>
    <xf numFmtId="0" fontId="34" fillId="0" borderId="0" xfId="0" applyFont="1" applyAlignment="1">
      <alignment horizontal="left"/>
    </xf>
    <xf numFmtId="0" fontId="43" fillId="0" borderId="0" xfId="0" applyFont="1" applyAlignment="1">
      <alignment vertical="center"/>
    </xf>
    <xf numFmtId="0" fontId="35" fillId="0" borderId="0" xfId="0" applyFont="1"/>
    <xf numFmtId="169" fontId="17" fillId="0" borderId="3" xfId="0" applyNumberFormat="1" applyFont="1" applyFill="1" applyBorder="1" applyProtection="1">
      <protection hidden="1"/>
    </xf>
    <xf numFmtId="0" fontId="17" fillId="0" borderId="0" xfId="0" applyFont="1" applyBorder="1" applyAlignment="1" applyProtection="1">
      <alignment vertical="center"/>
      <protection hidden="1"/>
    </xf>
    <xf numFmtId="0" fontId="22" fillId="0" borderId="0" xfId="0" applyFont="1" applyAlignment="1" applyProtection="1">
      <protection hidden="1"/>
    </xf>
    <xf numFmtId="0" fontId="17" fillId="0" borderId="0" xfId="0" applyFont="1" applyAlignment="1" applyProtection="1">
      <protection hidden="1"/>
    </xf>
    <xf numFmtId="169" fontId="21" fillId="0" borderId="0" xfId="0" applyNumberFormat="1" applyFont="1" applyProtection="1">
      <protection hidden="1"/>
    </xf>
    <xf numFmtId="0" fontId="21" fillId="0" borderId="0" xfId="0" applyFont="1" applyAlignment="1" applyProtection="1">
      <alignment horizontal="right"/>
      <protection hidden="1"/>
    </xf>
    <xf numFmtId="0" fontId="16" fillId="0" borderId="0" xfId="0" applyFont="1" applyFill="1" applyProtection="1">
      <protection hidden="1"/>
    </xf>
    <xf numFmtId="0" fontId="16" fillId="0" borderId="0" xfId="0" applyFont="1" applyFill="1" applyAlignment="1" applyProtection="1">
      <alignment horizontal="right"/>
      <protection hidden="1"/>
    </xf>
    <xf numFmtId="0" fontId="17" fillId="0" borderId="0" xfId="0" applyFont="1" applyAlignment="1" applyProtection="1">
      <alignment horizontal="center"/>
      <protection hidden="1"/>
    </xf>
    <xf numFmtId="0" fontId="19" fillId="0" borderId="0" xfId="0" applyFont="1" applyProtection="1">
      <protection hidden="1"/>
    </xf>
    <xf numFmtId="0" fontId="24" fillId="0" borderId="0" xfId="0" applyFont="1" applyProtection="1">
      <protection hidden="1"/>
    </xf>
    <xf numFmtId="0" fontId="46" fillId="0" borderId="0" xfId="0" applyFont="1" applyProtection="1">
      <protection hidden="1"/>
    </xf>
    <xf numFmtId="166" fontId="16" fillId="7" borderId="1" xfId="0" applyNumberFormat="1" applyFont="1" applyFill="1" applyBorder="1" applyProtection="1">
      <protection locked="0"/>
    </xf>
    <xf numFmtId="169" fontId="16" fillId="7" borderId="1" xfId="0" applyNumberFormat="1" applyFont="1" applyFill="1" applyBorder="1" applyProtection="1">
      <protection hidden="1"/>
    </xf>
    <xf numFmtId="169" fontId="16" fillId="5" borderId="14" xfId="0" applyNumberFormat="1" applyFont="1" applyFill="1" applyBorder="1" applyProtection="1">
      <protection locked="0"/>
    </xf>
    <xf numFmtId="169" fontId="16" fillId="5" borderId="1" xfId="0" applyNumberFormat="1" applyFont="1" applyFill="1" applyBorder="1" applyProtection="1">
      <protection locked="0"/>
    </xf>
    <xf numFmtId="170" fontId="17" fillId="7" borderId="1" xfId="2" applyNumberFormat="1" applyFont="1" applyFill="1" applyBorder="1" applyAlignment="1" applyProtection="1">
      <alignment horizontal="center"/>
      <protection hidden="1"/>
    </xf>
    <xf numFmtId="10" fontId="21" fillId="5" borderId="1" xfId="0" applyNumberFormat="1" applyFont="1" applyFill="1" applyBorder="1" applyAlignment="1" applyProtection="1">
      <alignment horizontal="center"/>
      <protection locked="0"/>
    </xf>
    <xf numFmtId="169" fontId="17" fillId="7" borderId="1" xfId="0" applyNumberFormat="1" applyFont="1" applyFill="1" applyBorder="1" applyAlignment="1" applyProtection="1">
      <alignment horizontal="center"/>
      <protection hidden="1"/>
    </xf>
    <xf numFmtId="166" fontId="16" fillId="7" borderId="1" xfId="0" applyNumberFormat="1" applyFont="1" applyFill="1" applyBorder="1" applyProtection="1">
      <protection hidden="1"/>
    </xf>
    <xf numFmtId="166" fontId="16" fillId="5" borderId="1" xfId="0" applyNumberFormat="1" applyFont="1" applyFill="1" applyBorder="1" applyProtection="1">
      <protection locked="0"/>
    </xf>
    <xf numFmtId="169" fontId="17" fillId="7" borderId="1" xfId="0" applyNumberFormat="1" applyFont="1" applyFill="1" applyBorder="1" applyProtection="1">
      <protection hidden="1"/>
    </xf>
    <xf numFmtId="166" fontId="17" fillId="7" borderId="1" xfId="0" applyNumberFormat="1" applyFont="1" applyFill="1" applyBorder="1" applyProtection="1">
      <protection hidden="1"/>
    </xf>
    <xf numFmtId="166" fontId="17" fillId="7" borderId="1" xfId="0" applyNumberFormat="1" applyFont="1" applyFill="1" applyBorder="1" applyAlignment="1" applyProtection="1">
      <alignment horizontal="center"/>
      <protection hidden="1"/>
    </xf>
    <xf numFmtId="166" fontId="16" fillId="7" borderId="1" xfId="0" applyNumberFormat="1" applyFont="1" applyFill="1" applyBorder="1" applyProtection="1"/>
    <xf numFmtId="2" fontId="17" fillId="7" borderId="1" xfId="0" applyNumberFormat="1" applyFont="1" applyFill="1" applyBorder="1" applyAlignment="1" applyProtection="1">
      <alignment horizontal="center"/>
    </xf>
    <xf numFmtId="10" fontId="16" fillId="5" borderId="1" xfId="2" applyNumberFormat="1" applyFont="1" applyFill="1" applyBorder="1" applyAlignment="1" applyProtection="1">
      <alignment horizontal="center"/>
      <protection locked="0"/>
    </xf>
    <xf numFmtId="166" fontId="17" fillId="7" borderId="1" xfId="0" applyNumberFormat="1" applyFont="1" applyFill="1" applyBorder="1" applyProtection="1"/>
    <xf numFmtId="166" fontId="17" fillId="7" borderId="4" xfId="0" applyNumberFormat="1" applyFont="1" applyFill="1" applyBorder="1" applyProtection="1"/>
    <xf numFmtId="168" fontId="21" fillId="7" borderId="5" xfId="0" applyNumberFormat="1" applyFont="1" applyFill="1" applyBorder="1" applyAlignment="1" applyProtection="1">
      <alignment horizontal="right"/>
    </xf>
    <xf numFmtId="0" fontId="16" fillId="7" borderId="1" xfId="0" applyFont="1" applyFill="1" applyBorder="1" applyAlignment="1" applyProtection="1">
      <alignment horizontal="center"/>
    </xf>
    <xf numFmtId="0" fontId="16" fillId="5" borderId="1" xfId="0" applyFont="1" applyFill="1" applyBorder="1" applyAlignment="1" applyProtection="1">
      <alignment horizontal="center"/>
      <protection locked="0"/>
    </xf>
    <xf numFmtId="2" fontId="17" fillId="5" borderId="1" xfId="0" applyNumberFormat="1" applyFont="1" applyFill="1" applyBorder="1" applyAlignment="1" applyProtection="1">
      <alignment horizontal="center"/>
      <protection locked="0"/>
    </xf>
    <xf numFmtId="10" fontId="17" fillId="6" borderId="1" xfId="0" applyNumberFormat="1" applyFont="1" applyFill="1" applyBorder="1" applyAlignment="1" applyProtection="1">
      <alignment horizontal="center"/>
      <protection hidden="1"/>
    </xf>
    <xf numFmtId="0" fontId="17" fillId="5" borderId="1" xfId="0" applyFont="1" applyFill="1" applyBorder="1" applyAlignment="1" applyProtection="1">
      <alignment horizontal="right"/>
      <protection locked="0"/>
    </xf>
    <xf numFmtId="43" fontId="24" fillId="5" borderId="1" xfId="1" applyFont="1" applyFill="1" applyBorder="1" applyAlignment="1" applyProtection="1">
      <alignment horizontal="center"/>
      <protection locked="0"/>
    </xf>
    <xf numFmtId="0" fontId="16" fillId="7" borderId="20" xfId="0" applyFont="1" applyFill="1" applyBorder="1" applyProtection="1">
      <protection hidden="1"/>
    </xf>
    <xf numFmtId="0" fontId="16" fillId="7" borderId="21" xfId="0" applyFont="1" applyFill="1" applyBorder="1" applyProtection="1">
      <protection hidden="1"/>
    </xf>
    <xf numFmtId="0" fontId="18" fillId="4" borderId="0" xfId="0" applyFont="1" applyFill="1" applyAlignment="1" applyProtection="1">
      <protection hidden="1"/>
    </xf>
    <xf numFmtId="0" fontId="16" fillId="4" borderId="0" xfId="0" applyFont="1" applyFill="1" applyProtection="1">
      <protection hidden="1"/>
    </xf>
    <xf numFmtId="0" fontId="16" fillId="4" borderId="0" xfId="0" applyFont="1" applyFill="1" applyAlignment="1" applyProtection="1">
      <alignment horizontal="right"/>
      <protection hidden="1"/>
    </xf>
    <xf numFmtId="0" fontId="17" fillId="4" borderId="0" xfId="0" applyFont="1" applyFill="1" applyAlignment="1" applyProtection="1">
      <alignment horizontal="right"/>
      <protection hidden="1"/>
    </xf>
    <xf numFmtId="0" fontId="19" fillId="4" borderId="0" xfId="0" applyFont="1" applyFill="1" applyProtection="1">
      <protection hidden="1"/>
    </xf>
    <xf numFmtId="0" fontId="23" fillId="4" borderId="0" xfId="0" applyFont="1" applyFill="1" applyAlignment="1" applyProtection="1">
      <alignment horizontal="right"/>
      <protection hidden="1"/>
    </xf>
    <xf numFmtId="0" fontId="19" fillId="4" borderId="0" xfId="0" applyFont="1" applyFill="1" applyAlignment="1" applyProtection="1">
      <alignment horizontal="left"/>
      <protection hidden="1"/>
    </xf>
    <xf numFmtId="0" fontId="21" fillId="4" borderId="0" xfId="0" applyFont="1" applyFill="1" applyAlignment="1" applyProtection="1">
      <alignment horizontal="right"/>
      <protection hidden="1"/>
    </xf>
    <xf numFmtId="0" fontId="20" fillId="4" borderId="0" xfId="0" applyFont="1" applyFill="1" applyAlignment="1" applyProtection="1">
      <alignment horizontal="center"/>
      <protection hidden="1"/>
    </xf>
    <xf numFmtId="166" fontId="16" fillId="4" borderId="0" xfId="0" applyNumberFormat="1" applyFont="1" applyFill="1" applyBorder="1" applyProtection="1">
      <protection hidden="1"/>
    </xf>
    <xf numFmtId="0" fontId="19" fillId="4" borderId="0" xfId="0" applyFont="1" applyFill="1" applyBorder="1" applyAlignment="1" applyProtection="1">
      <alignment horizontal="left"/>
      <protection hidden="1"/>
    </xf>
    <xf numFmtId="166" fontId="17" fillId="4" borderId="0" xfId="0" applyNumberFormat="1" applyFont="1" applyFill="1" applyBorder="1" applyProtection="1">
      <protection hidden="1"/>
    </xf>
    <xf numFmtId="0" fontId="16" fillId="4" borderId="0" xfId="0" applyFont="1" applyFill="1" applyAlignment="1" applyProtection="1">
      <alignment horizontal="left"/>
      <protection hidden="1"/>
    </xf>
    <xf numFmtId="0" fontId="16" fillId="5" borderId="19" xfId="0" applyFont="1" applyFill="1" applyBorder="1" applyProtection="1">
      <protection hidden="1"/>
    </xf>
    <xf numFmtId="0" fontId="16" fillId="3" borderId="17" xfId="0" applyFont="1" applyFill="1" applyBorder="1" applyProtection="1">
      <protection hidden="1"/>
    </xf>
    <xf numFmtId="0" fontId="17" fillId="4" borderId="0" xfId="0" applyFont="1" applyFill="1" applyAlignment="1" applyProtection="1">
      <alignment horizontal="center"/>
      <protection hidden="1"/>
    </xf>
    <xf numFmtId="10" fontId="16" fillId="7" borderId="1" xfId="2" applyNumberFormat="1" applyFont="1" applyFill="1" applyBorder="1" applyProtection="1">
      <protection hidden="1"/>
    </xf>
    <xf numFmtId="10" fontId="16" fillId="5" borderId="14" xfId="2" applyNumberFormat="1" applyFont="1" applyFill="1" applyBorder="1" applyProtection="1">
      <protection locked="0"/>
    </xf>
    <xf numFmtId="0" fontId="17" fillId="0" borderId="0" xfId="0" applyFont="1" applyFill="1" applyAlignment="1" applyProtection="1">
      <alignment horizontal="right"/>
      <protection hidden="1"/>
    </xf>
    <xf numFmtId="10" fontId="21" fillId="7" borderId="13" xfId="2" applyNumberFormat="1" applyFont="1" applyFill="1" applyBorder="1" applyAlignment="1" applyProtection="1">
      <alignment horizontal="right"/>
      <protection hidden="1"/>
    </xf>
    <xf numFmtId="10" fontId="21" fillId="7" borderId="1" xfId="2" applyNumberFormat="1" applyFont="1" applyFill="1" applyBorder="1" applyAlignment="1" applyProtection="1">
      <alignment horizontal="right"/>
      <protection hidden="1"/>
    </xf>
    <xf numFmtId="10" fontId="16" fillId="7" borderId="1" xfId="0" applyNumberFormat="1" applyFont="1" applyFill="1" applyBorder="1" applyAlignment="1" applyProtection="1">
      <alignment horizontal="right"/>
      <protection hidden="1"/>
    </xf>
    <xf numFmtId="169" fontId="21" fillId="7" borderId="13" xfId="0" applyNumberFormat="1" applyFont="1" applyFill="1" applyBorder="1" applyProtection="1">
      <protection hidden="1"/>
    </xf>
    <xf numFmtId="0" fontId="16" fillId="8" borderId="22" xfId="0" applyFont="1" applyFill="1" applyBorder="1" applyProtection="1">
      <protection hidden="1"/>
    </xf>
    <xf numFmtId="0" fontId="16" fillId="8" borderId="24" xfId="0" applyFont="1" applyFill="1" applyBorder="1" applyProtection="1">
      <protection hidden="1"/>
    </xf>
    <xf numFmtId="171" fontId="17" fillId="7" borderId="1" xfId="2" applyNumberFormat="1" applyFont="1" applyFill="1" applyBorder="1" applyAlignment="1" applyProtection="1">
      <alignment horizontal="center"/>
      <protection hidden="1"/>
    </xf>
    <xf numFmtId="171" fontId="21" fillId="7" borderId="1" xfId="0" applyNumberFormat="1" applyFont="1" applyFill="1" applyBorder="1" applyAlignment="1" applyProtection="1">
      <alignment horizontal="center"/>
      <protection hidden="1"/>
    </xf>
    <xf numFmtId="171" fontId="17" fillId="7" borderId="1" xfId="0" applyNumberFormat="1" applyFont="1" applyFill="1" applyBorder="1" applyAlignment="1" applyProtection="1">
      <alignment horizontal="center"/>
      <protection hidden="1"/>
    </xf>
    <xf numFmtId="171" fontId="21" fillId="0" borderId="0" xfId="0" applyNumberFormat="1" applyFont="1" applyProtection="1">
      <protection hidden="1"/>
    </xf>
    <xf numFmtId="0" fontId="21" fillId="4" borderId="0" xfId="0" applyFont="1" applyFill="1" applyAlignment="1" applyProtection="1">
      <alignment horizontal="center" wrapText="1"/>
      <protection hidden="1"/>
    </xf>
    <xf numFmtId="0" fontId="47" fillId="4" borderId="0" xfId="0" applyFont="1" applyFill="1" applyAlignment="1" applyProtection="1">
      <alignment horizontal="center" wrapText="1"/>
      <protection hidden="1"/>
    </xf>
    <xf numFmtId="0" fontId="16" fillId="7" borderId="0" xfId="0" applyFont="1" applyFill="1" applyBorder="1" applyAlignment="1" applyProtection="1">
      <alignment horizontal="center" vertical="center"/>
      <protection hidden="1"/>
    </xf>
    <xf numFmtId="0" fontId="16" fillId="8" borderId="23" xfId="0" applyFont="1" applyFill="1" applyBorder="1" applyAlignment="1" applyProtection="1">
      <alignment horizontal="center" vertical="center"/>
      <protection hidden="1"/>
    </xf>
    <xf numFmtId="0" fontId="16" fillId="5" borderId="18" xfId="0" applyFont="1" applyFill="1" applyBorder="1" applyAlignment="1" applyProtection="1">
      <alignment horizontal="center" vertical="center"/>
      <protection hidden="1"/>
    </xf>
    <xf numFmtId="0" fontId="17" fillId="5" borderId="1" xfId="0" applyFont="1" applyFill="1" applyBorder="1" applyAlignment="1" applyProtection="1">
      <alignment horizontal="center"/>
      <protection locked="0"/>
    </xf>
    <xf numFmtId="10" fontId="16" fillId="7" borderId="1" xfId="0" applyNumberFormat="1" applyFont="1" applyFill="1" applyBorder="1" applyAlignment="1" applyProtection="1">
      <alignment horizontal="right"/>
      <protection locked="0"/>
    </xf>
    <xf numFmtId="10" fontId="16" fillId="5" borderId="1" xfId="0" applyNumberFormat="1" applyFont="1" applyFill="1" applyBorder="1" applyAlignment="1" applyProtection="1">
      <alignment horizontal="right"/>
      <protection locked="0"/>
    </xf>
    <xf numFmtId="10" fontId="21" fillId="7" borderId="1" xfId="2" applyNumberFormat="1" applyFont="1" applyFill="1" applyBorder="1" applyAlignment="1" applyProtection="1">
      <alignment horizontal="right"/>
    </xf>
    <xf numFmtId="0" fontId="17" fillId="4" borderId="0" xfId="0" applyFont="1" applyFill="1" applyBorder="1" applyAlignment="1" applyProtection="1">
      <alignment horizontal="right"/>
      <protection hidden="1"/>
    </xf>
    <xf numFmtId="0" fontId="45" fillId="4" borderId="0" xfId="0" applyFont="1" applyFill="1" applyAlignment="1" applyProtection="1">
      <alignment horizontal="right"/>
      <protection hidden="1"/>
    </xf>
    <xf numFmtId="169" fontId="21" fillId="7" borderId="13" xfId="0" applyNumberFormat="1" applyFont="1" applyFill="1" applyBorder="1" applyProtection="1"/>
    <xf numFmtId="0" fontId="17" fillId="0" borderId="17" xfId="0" applyFont="1" applyFill="1" applyBorder="1" applyAlignment="1" applyProtection="1">
      <alignment horizontal="right"/>
      <protection hidden="1"/>
    </xf>
    <xf numFmtId="0" fontId="17" fillId="0" borderId="18" xfId="0" applyFont="1" applyFill="1" applyBorder="1" applyAlignment="1" applyProtection="1">
      <alignment horizontal="right"/>
      <protection hidden="1"/>
    </xf>
    <xf numFmtId="0" fontId="16" fillId="0" borderId="18" xfId="0" applyFont="1" applyBorder="1" applyProtection="1">
      <protection hidden="1"/>
    </xf>
    <xf numFmtId="0" fontId="16" fillId="0" borderId="19" xfId="0" applyFont="1" applyBorder="1" applyProtection="1">
      <protection hidden="1"/>
    </xf>
    <xf numFmtId="0" fontId="17" fillId="4" borderId="20" xfId="0" applyFont="1" applyFill="1" applyBorder="1" applyAlignment="1" applyProtection="1">
      <alignment horizontal="right"/>
      <protection hidden="1"/>
    </xf>
    <xf numFmtId="0" fontId="19" fillId="0" borderId="0" xfId="0" applyFont="1" applyBorder="1" applyProtection="1">
      <protection hidden="1"/>
    </xf>
    <xf numFmtId="0" fontId="16" fillId="0" borderId="21" xfId="0" applyFont="1" applyBorder="1" applyProtection="1">
      <protection hidden="1"/>
    </xf>
    <xf numFmtId="0" fontId="16" fillId="0" borderId="20" xfId="0" applyFont="1" applyBorder="1" applyProtection="1">
      <protection hidden="1"/>
    </xf>
    <xf numFmtId="0" fontId="48" fillId="0" borderId="0" xfId="0" applyFont="1" applyBorder="1" applyProtection="1">
      <protection hidden="1"/>
    </xf>
    <xf numFmtId="0" fontId="17" fillId="0" borderId="0" xfId="0" applyFont="1" applyBorder="1" applyAlignment="1" applyProtection="1">
      <alignment horizontal="right" vertical="center"/>
      <protection hidden="1"/>
    </xf>
    <xf numFmtId="0" fontId="16" fillId="0" borderId="22" xfId="0" applyFont="1" applyBorder="1" applyProtection="1">
      <protection hidden="1"/>
    </xf>
    <xf numFmtId="0" fontId="16" fillId="0" borderId="23" xfId="0" applyFont="1" applyBorder="1" applyProtection="1">
      <protection hidden="1"/>
    </xf>
    <xf numFmtId="0" fontId="0" fillId="0" borderId="23" xfId="0" applyBorder="1" applyProtection="1">
      <protection hidden="1"/>
    </xf>
    <xf numFmtId="0" fontId="16" fillId="0" borderId="24" xfId="0" applyFont="1" applyBorder="1" applyProtection="1">
      <protection hidden="1"/>
    </xf>
    <xf numFmtId="10" fontId="21" fillId="4" borderId="7" xfId="2" applyNumberFormat="1" applyFont="1" applyFill="1" applyBorder="1" applyAlignment="1" applyProtection="1">
      <alignment horizontal="right"/>
      <protection hidden="1"/>
    </xf>
    <xf numFmtId="166" fontId="48" fillId="0" borderId="25" xfId="0" applyNumberFormat="1" applyFont="1" applyFill="1" applyBorder="1" applyAlignment="1" applyProtection="1">
      <alignment horizontal="center" vertical="center"/>
      <protection hidden="1"/>
    </xf>
    <xf numFmtId="0" fontId="48" fillId="0" borderId="0" xfId="0" applyFont="1" applyAlignment="1" applyProtection="1">
      <alignment horizontal="center"/>
      <protection hidden="1"/>
    </xf>
    <xf numFmtId="0" fontId="21" fillId="7" borderId="5" xfId="0" applyFont="1" applyFill="1" applyBorder="1" applyAlignment="1" applyProtection="1">
      <alignment horizontal="center"/>
      <protection hidden="1"/>
    </xf>
    <xf numFmtId="10" fontId="16" fillId="7" borderId="5" xfId="2" applyNumberFormat="1" applyFont="1" applyFill="1" applyBorder="1" applyAlignment="1" applyProtection="1">
      <alignment horizontal="center"/>
    </xf>
    <xf numFmtId="166" fontId="16" fillId="4" borderId="0" xfId="0" applyNumberFormat="1" applyFont="1" applyFill="1" applyBorder="1" applyProtection="1"/>
    <xf numFmtId="2" fontId="17" fillId="4" borderId="0" xfId="0" applyNumberFormat="1" applyFont="1" applyFill="1" applyBorder="1" applyAlignment="1" applyProtection="1">
      <alignment horizontal="center"/>
    </xf>
    <xf numFmtId="169" fontId="16" fillId="4" borderId="0" xfId="0" applyNumberFormat="1" applyFont="1" applyFill="1" applyBorder="1" applyProtection="1">
      <protection locked="0"/>
    </xf>
    <xf numFmtId="10" fontId="16" fillId="4" borderId="0" xfId="2" applyNumberFormat="1" applyFont="1" applyFill="1" applyBorder="1" applyAlignment="1" applyProtection="1">
      <alignment horizontal="center"/>
      <protection locked="0"/>
    </xf>
    <xf numFmtId="0" fontId="46" fillId="0" borderId="0" xfId="0" applyFont="1" applyAlignment="1" applyProtection="1">
      <alignment horizontal="right" vertical="top"/>
      <protection hidden="1"/>
    </xf>
    <xf numFmtId="0" fontId="16" fillId="4" borderId="0" xfId="0" applyFont="1" applyFill="1" applyBorder="1" applyProtection="1">
      <protection hidden="1"/>
    </xf>
    <xf numFmtId="0" fontId="21" fillId="0" borderId="0" xfId="0" applyFont="1" applyFill="1" applyBorder="1" applyAlignment="1" applyProtection="1">
      <alignment horizontal="left"/>
      <protection hidden="1"/>
    </xf>
    <xf numFmtId="0" fontId="16" fillId="0" borderId="0" xfId="0" applyFont="1" applyFill="1" applyBorder="1" applyProtection="1">
      <protection hidden="1"/>
    </xf>
    <xf numFmtId="0" fontId="16" fillId="0" borderId="21" xfId="0" applyFont="1" applyFill="1" applyBorder="1" applyProtection="1">
      <protection hidden="1"/>
    </xf>
    <xf numFmtId="166" fontId="17" fillId="0" borderId="2" xfId="0" applyNumberFormat="1" applyFont="1" applyFill="1" applyBorder="1" applyProtection="1">
      <protection hidden="1"/>
    </xf>
    <xf numFmtId="166" fontId="44" fillId="0" borderId="0" xfId="0" applyNumberFormat="1" applyFont="1" applyFill="1" applyBorder="1" applyProtection="1"/>
    <xf numFmtId="0" fontId="49" fillId="5" borderId="0" xfId="0" applyFont="1" applyFill="1" applyBorder="1" applyAlignment="1" applyProtection="1">
      <alignment horizontal="left"/>
      <protection hidden="1"/>
    </xf>
    <xf numFmtId="0" fontId="50" fillId="5" borderId="0" xfId="0" applyFont="1" applyFill="1" applyBorder="1" applyProtection="1">
      <protection hidden="1"/>
    </xf>
    <xf numFmtId="0" fontId="50" fillId="5" borderId="21" xfId="0" applyFont="1" applyFill="1" applyBorder="1" applyProtection="1">
      <protection hidden="1"/>
    </xf>
    <xf numFmtId="7" fontId="21" fillId="8" borderId="0" xfId="0" applyNumberFormat="1" applyFont="1" applyFill="1" applyProtection="1">
      <protection hidden="1"/>
    </xf>
    <xf numFmtId="172" fontId="21" fillId="0" borderId="0" xfId="0" applyNumberFormat="1" applyFont="1" applyBorder="1" applyAlignment="1" applyProtection="1">
      <alignment horizontal="center"/>
      <protection hidden="1"/>
    </xf>
    <xf numFmtId="0" fontId="16" fillId="0" borderId="0" xfId="0" applyFont="1" applyAlignment="1" applyProtection="1">
      <alignment horizontal="center"/>
      <protection hidden="1"/>
    </xf>
    <xf numFmtId="0" fontId="51" fillId="0" borderId="0" xfId="0" applyFont="1"/>
    <xf numFmtId="0" fontId="21" fillId="8" borderId="17" xfId="0" applyFont="1" applyFill="1" applyBorder="1" applyAlignment="1" applyProtection="1">
      <alignment horizontal="center" wrapText="1"/>
      <protection hidden="1"/>
    </xf>
    <xf numFmtId="0" fontId="16" fillId="8" borderId="18" xfId="0" applyFont="1" applyFill="1" applyBorder="1" applyAlignment="1" applyProtection="1">
      <alignment horizontal="center" wrapText="1"/>
      <protection hidden="1"/>
    </xf>
    <xf numFmtId="0" fontId="16" fillId="8" borderId="19" xfId="0" applyFont="1" applyFill="1" applyBorder="1" applyAlignment="1" applyProtection="1">
      <alignment horizontal="center" wrapText="1"/>
      <protection hidden="1"/>
    </xf>
    <xf numFmtId="0" fontId="16" fillId="8" borderId="20" xfId="0" applyFont="1" applyFill="1" applyBorder="1" applyAlignment="1" applyProtection="1">
      <alignment horizontal="center" wrapText="1"/>
      <protection hidden="1"/>
    </xf>
    <xf numFmtId="0" fontId="16" fillId="8" borderId="0" xfId="0" applyFont="1" applyFill="1" applyBorder="1" applyAlignment="1" applyProtection="1">
      <alignment horizontal="center" wrapText="1"/>
      <protection hidden="1"/>
    </xf>
    <xf numFmtId="0" fontId="16" fillId="8" borderId="21" xfId="0" applyFont="1" applyFill="1" applyBorder="1" applyAlignment="1" applyProtection="1">
      <alignment horizontal="center" wrapText="1"/>
      <protection hidden="1"/>
    </xf>
    <xf numFmtId="0" fontId="16" fillId="8" borderId="22" xfId="0" applyFont="1" applyFill="1" applyBorder="1" applyAlignment="1" applyProtection="1">
      <alignment horizontal="center" wrapText="1"/>
      <protection hidden="1"/>
    </xf>
    <xf numFmtId="0" fontId="16" fillId="8" borderId="23" xfId="0" applyFont="1" applyFill="1" applyBorder="1" applyAlignment="1" applyProtection="1">
      <alignment horizontal="center" wrapText="1"/>
      <protection hidden="1"/>
    </xf>
    <xf numFmtId="0" fontId="16" fillId="8" borderId="24" xfId="0" applyFont="1" applyFill="1" applyBorder="1" applyAlignment="1" applyProtection="1">
      <alignment horizontal="center" wrapText="1"/>
      <protection hidden="1"/>
    </xf>
    <xf numFmtId="0" fontId="16" fillId="0" borderId="2"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8" fillId="0" borderId="0" xfId="0" applyFont="1" applyAlignment="1" applyProtection="1">
      <alignment horizontal="right"/>
      <protection hidden="1"/>
    </xf>
    <xf numFmtId="0" fontId="22" fillId="0" borderId="0" xfId="0" applyFont="1" applyAlignment="1" applyProtection="1">
      <alignment horizontal="center"/>
      <protection hidden="1"/>
    </xf>
    <xf numFmtId="0" fontId="17" fillId="0" borderId="0" xfId="0" applyFont="1" applyAlignment="1" applyProtection="1">
      <alignment horizontal="center"/>
      <protection hidden="1"/>
    </xf>
    <xf numFmtId="0" fontId="21" fillId="0" borderId="0" xfId="0" applyFont="1" applyAlignment="1" applyProtection="1">
      <alignment horizontal="center" wrapText="1"/>
      <protection hidden="1"/>
    </xf>
    <xf numFmtId="0" fontId="21" fillId="0" borderId="9" xfId="0" applyFont="1" applyBorder="1" applyAlignment="1" applyProtection="1">
      <alignment horizontal="center" wrapText="1"/>
      <protection hidden="1"/>
    </xf>
    <xf numFmtId="0" fontId="18" fillId="0" borderId="0" xfId="0" applyFont="1" applyAlignment="1" applyProtection="1">
      <alignment horizontal="right" vertical="center"/>
      <protection hidden="1"/>
    </xf>
    <xf numFmtId="0" fontId="46" fillId="8" borderId="18" xfId="0" applyFont="1" applyFill="1" applyBorder="1" applyAlignment="1" applyProtection="1">
      <alignment horizontal="center"/>
      <protection hidden="1"/>
    </xf>
    <xf numFmtId="0" fontId="16" fillId="5" borderId="17" xfId="0" applyFont="1" applyFill="1" applyBorder="1" applyAlignment="1" applyProtection="1">
      <alignment horizontal="center" vertical="center"/>
      <protection hidden="1"/>
    </xf>
    <xf numFmtId="0" fontId="16" fillId="5" borderId="18" xfId="0" applyFont="1" applyFill="1" applyBorder="1" applyAlignment="1" applyProtection="1">
      <alignment horizontal="center" vertical="center"/>
      <protection hidden="1"/>
    </xf>
    <xf numFmtId="0" fontId="16" fillId="5" borderId="19" xfId="0" applyFont="1" applyFill="1" applyBorder="1" applyAlignment="1" applyProtection="1">
      <alignment horizontal="center" vertical="center"/>
      <protection hidden="1"/>
    </xf>
    <xf numFmtId="0" fontId="16" fillId="7" borderId="20" xfId="0" applyFont="1" applyFill="1" applyBorder="1" applyAlignment="1" applyProtection="1">
      <alignment horizontal="center" vertical="center"/>
      <protection hidden="1"/>
    </xf>
    <xf numFmtId="0" fontId="16" fillId="7" borderId="0" xfId="0" applyFont="1" applyFill="1" applyBorder="1" applyAlignment="1" applyProtection="1">
      <alignment horizontal="center" vertical="center"/>
      <protection hidden="1"/>
    </xf>
    <xf numFmtId="0" fontId="16" fillId="7" borderId="21" xfId="0" applyFont="1" applyFill="1" applyBorder="1" applyAlignment="1" applyProtection="1">
      <alignment horizontal="center" vertical="center"/>
      <protection hidden="1"/>
    </xf>
    <xf numFmtId="0" fontId="16" fillId="8" borderId="22" xfId="0" applyFont="1" applyFill="1" applyBorder="1" applyAlignment="1" applyProtection="1">
      <alignment horizontal="center" vertical="center"/>
      <protection hidden="1"/>
    </xf>
    <xf numFmtId="0" fontId="16" fillId="8" borderId="23" xfId="0" applyFont="1" applyFill="1" applyBorder="1" applyAlignment="1" applyProtection="1">
      <alignment horizontal="center" vertical="center"/>
      <protection hidden="1"/>
    </xf>
    <xf numFmtId="0" fontId="16" fillId="8" borderId="24" xfId="0" applyFont="1" applyFill="1" applyBorder="1" applyAlignment="1" applyProtection="1">
      <alignment horizontal="center" vertical="center"/>
      <protection hidden="1"/>
    </xf>
    <xf numFmtId="0" fontId="17" fillId="4" borderId="23" xfId="0" applyFont="1" applyFill="1" applyBorder="1" applyAlignment="1" applyProtection="1">
      <alignment horizontal="center"/>
      <protection hidden="1"/>
    </xf>
    <xf numFmtId="0" fontId="48" fillId="0" borderId="0" xfId="0" applyFont="1" applyBorder="1" applyAlignment="1" applyProtection="1">
      <alignment horizontal="center" vertical="center" wrapText="1"/>
      <protection hidden="1"/>
    </xf>
    <xf numFmtId="0" fontId="16" fillId="0" borderId="0" xfId="0" applyFont="1" applyAlignment="1" applyProtection="1">
      <alignment horizontal="center"/>
      <protection hidden="1"/>
    </xf>
    <xf numFmtId="0" fontId="18" fillId="0" borderId="0" xfId="0" applyFont="1" applyAlignment="1" applyProtection="1">
      <alignment horizontal="center"/>
      <protection hidden="1"/>
    </xf>
    <xf numFmtId="171" fontId="17" fillId="7" borderId="4" xfId="2" applyNumberFormat="1" applyFont="1" applyFill="1" applyBorder="1" applyAlignment="1" applyProtection="1">
      <alignment horizontal="center"/>
      <protection hidden="1"/>
    </xf>
    <xf numFmtId="171" fontId="17" fillId="7" borderId="12" xfId="2" applyNumberFormat="1" applyFont="1" applyFill="1" applyBorder="1" applyAlignment="1" applyProtection="1">
      <alignment horizontal="center"/>
      <protection hidden="1"/>
    </xf>
    <xf numFmtId="169" fontId="17" fillId="7" borderId="4" xfId="0" applyNumberFormat="1" applyFont="1" applyFill="1" applyBorder="1" applyAlignment="1" applyProtection="1">
      <alignment horizontal="center"/>
      <protection hidden="1"/>
    </xf>
    <xf numFmtId="169" fontId="17" fillId="7" borderId="12" xfId="0" applyNumberFormat="1" applyFont="1" applyFill="1" applyBorder="1" applyAlignment="1" applyProtection="1">
      <alignment horizontal="center"/>
      <protection hidden="1"/>
    </xf>
    <xf numFmtId="0" fontId="17" fillId="0" borderId="0" xfId="0" applyFont="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7" fillId="0" borderId="9" xfId="0" applyFont="1" applyBorder="1" applyAlignment="1" applyProtection="1">
      <alignment horizontal="center"/>
      <protection hidden="1"/>
    </xf>
    <xf numFmtId="0" fontId="0" fillId="0" borderId="9" xfId="0" applyBorder="1" applyAlignment="1" applyProtection="1">
      <alignment horizontal="center"/>
      <protection hidden="1"/>
    </xf>
    <xf numFmtId="3" fontId="0" fillId="0" borderId="9" xfId="0" applyNumberFormat="1" applyBorder="1" applyAlignment="1" applyProtection="1">
      <alignment horizontal="right" vertical="center" indent="1"/>
      <protection hidden="1"/>
    </xf>
    <xf numFmtId="0" fontId="7" fillId="0" borderId="9" xfId="0" applyNumberFormat="1" applyFont="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0" fontId="0" fillId="0" borderId="9" xfId="0" applyBorder="1" applyAlignment="1" applyProtection="1">
      <alignment horizontal="center" vertical="center"/>
      <protection hidden="1"/>
    </xf>
    <xf numFmtId="3" fontId="1" fillId="0" borderId="9" xfId="0" applyNumberFormat="1" applyFont="1" applyBorder="1" applyAlignment="1" applyProtection="1">
      <alignment horizontal="right" indent="1"/>
      <protection hidden="1"/>
    </xf>
    <xf numFmtId="0" fontId="1" fillId="0" borderId="9" xfId="0" applyFont="1" applyBorder="1" applyAlignment="1" applyProtection="1">
      <alignment horizontal="right" indent="1"/>
      <protection hidden="1"/>
    </xf>
    <xf numFmtId="3" fontId="0" fillId="0" borderId="0" xfId="0" applyNumberFormat="1" applyBorder="1" applyAlignment="1" applyProtection="1">
      <alignment horizontal="right" vertical="center" indent="1"/>
      <protection hidden="1"/>
    </xf>
    <xf numFmtId="164" fontId="7" fillId="0" borderId="0" xfId="0" applyNumberFormat="1" applyFont="1" applyBorder="1" applyAlignment="1" applyProtection="1">
      <alignment horizontal="center"/>
      <protection hidden="1"/>
    </xf>
    <xf numFmtId="164" fontId="0" fillId="0" borderId="0" xfId="0" applyNumberFormat="1" applyBorder="1" applyAlignment="1" applyProtection="1">
      <alignment horizontal="center"/>
      <protection hidden="1"/>
    </xf>
    <xf numFmtId="0" fontId="8" fillId="0" borderId="7" xfId="0" applyFont="1" applyBorder="1" applyAlignment="1" applyProtection="1">
      <alignment horizontal="center" vertical="top"/>
      <protection hidden="1"/>
    </xf>
    <xf numFmtId="0" fontId="4" fillId="0" borderId="0" xfId="0" applyFont="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8" fillId="0" borderId="0" xfId="0" applyFont="1" applyBorder="1" applyAlignment="1" applyProtection="1">
      <alignment horizontal="center"/>
      <protection hidden="1"/>
    </xf>
  </cellXfs>
  <cellStyles count="3">
    <cellStyle name="Comma" xfId="1" builtinId="3"/>
    <cellStyle name="Normal" xfId="0" builtinId="0"/>
    <cellStyle name="Percent" xfId="2" builtinId="5"/>
  </cellStyles>
  <dxfs count="72">
    <dxf>
      <fill>
        <patternFill>
          <bgColor theme="4" tint="0.79998168889431442"/>
        </patternFill>
      </fill>
    </dxf>
    <dxf>
      <font>
        <color theme="0"/>
      </font>
      <fill>
        <patternFill>
          <bgColor theme="0"/>
        </patternFill>
      </fill>
      <border>
        <left/>
        <right/>
        <top/>
        <bottom/>
        <vertical/>
        <horizontal/>
      </border>
    </dxf>
    <dxf>
      <font>
        <color auto="1"/>
      </font>
      <fill>
        <patternFill>
          <bgColor theme="4" tint="0.79998168889431442"/>
        </patternFill>
      </fill>
    </dxf>
    <dxf>
      <font>
        <color theme="0"/>
      </font>
    </dxf>
    <dxf>
      <fill>
        <patternFill>
          <bgColor theme="5" tint="0.59996337778862885"/>
        </patternFill>
      </fill>
    </dxf>
    <dxf>
      <fill>
        <patternFill>
          <bgColor theme="5" tint="0.59996337778862885"/>
        </patternFill>
      </fill>
    </dxf>
    <dxf>
      <fill>
        <patternFill>
          <bgColor theme="4" tint="0.79998168889431442"/>
        </patternFill>
      </fill>
    </dxf>
    <dxf>
      <fill>
        <patternFill>
          <bgColor theme="5" tint="0.59996337778862885"/>
        </patternFill>
      </fill>
    </dxf>
    <dxf>
      <font>
        <color theme="0"/>
      </font>
      <fill>
        <patternFill>
          <bgColor theme="0"/>
        </patternFill>
      </fill>
    </dxf>
    <dxf>
      <font>
        <color theme="0"/>
      </font>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rgb="FFCCFFCC"/>
        </patternFill>
      </fill>
    </dxf>
    <dxf>
      <font>
        <color theme="0"/>
      </font>
      <fill>
        <patternFill>
          <bgColor theme="0"/>
        </patternFill>
      </fill>
    </dxf>
    <dxf>
      <font>
        <condense val="0"/>
        <extend val="0"/>
        <color indexed="9"/>
      </font>
    </dxf>
    <dxf>
      <font>
        <condense val="0"/>
        <extend val="0"/>
        <color indexed="42"/>
      </font>
    </dxf>
    <dxf>
      <font>
        <condense val="0"/>
        <extend val="0"/>
        <color indexed="42"/>
      </font>
    </dxf>
    <dxf>
      <font>
        <condense val="0"/>
        <extend val="0"/>
        <color indexed="42"/>
      </font>
      <fill>
        <patternFill>
          <bgColor indexed="42"/>
        </patternFill>
      </fill>
      <border>
        <left/>
        <right/>
        <top/>
        <bottom/>
      </border>
    </dxf>
    <dxf>
      <font>
        <condense val="0"/>
        <extend val="0"/>
        <color indexed="42"/>
      </font>
    </dxf>
    <dxf>
      <font>
        <color rgb="FF9C0006"/>
      </font>
      <fill>
        <patternFill>
          <bgColor theme="5" tint="0.59996337778862885"/>
        </patternFill>
      </fill>
    </dxf>
    <dxf>
      <font>
        <color rgb="FF9C0006"/>
      </font>
      <fill>
        <patternFill>
          <bgColor theme="5" tint="0.59996337778862885"/>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59996337778862885"/>
        </patternFill>
      </fill>
    </dxf>
    <dxf>
      <font>
        <color rgb="FF9C0006"/>
      </font>
      <fill>
        <patternFill>
          <bgColor rgb="FFFFC7CE"/>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42"/>
      </font>
    </dxf>
    <dxf>
      <font>
        <condense val="0"/>
        <extend val="0"/>
        <color indexed="9"/>
      </font>
      <fill>
        <patternFill>
          <bgColor indexed="9"/>
        </patternFill>
      </fill>
      <border>
        <left/>
        <right/>
        <top/>
        <bottom/>
      </border>
    </dxf>
    <dxf>
      <font>
        <condense val="0"/>
        <extend val="0"/>
        <color indexed="42"/>
      </font>
      <fill>
        <patternFill>
          <bgColor indexed="42"/>
        </patternFill>
      </fill>
      <border>
        <left/>
        <right/>
        <top/>
        <bottom/>
      </border>
    </dxf>
    <dxf>
      <font>
        <condense val="0"/>
        <extend val="0"/>
        <color indexed="42"/>
      </font>
    </dxf>
    <dxf>
      <font>
        <color theme="0"/>
      </font>
      <fill>
        <patternFill>
          <bgColor theme="0"/>
        </patternFill>
      </fill>
    </dxf>
    <dxf>
      <font>
        <color theme="0"/>
      </font>
      <fill>
        <patternFill>
          <bgColor theme="0"/>
        </patternFill>
      </fill>
      <border>
        <left/>
        <right/>
        <top/>
        <bottom/>
        <vertical/>
        <horizontal/>
      </border>
    </dxf>
    <dxf>
      <font>
        <color theme="0"/>
      </font>
    </dxf>
    <dxf>
      <font>
        <color theme="0"/>
      </font>
      <fill>
        <patternFill>
          <bgColor theme="0"/>
        </patternFill>
      </fill>
      <border>
        <left/>
        <right/>
        <top/>
        <bottom/>
        <vertical/>
        <horizontal/>
      </border>
    </dxf>
    <dxf>
      <font>
        <color theme="0"/>
      </font>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ont>
        <color theme="0"/>
      </font>
      <fill>
        <patternFill>
          <bgColor theme="0"/>
        </patternFill>
      </fill>
    </dxf>
    <dxf>
      <fill>
        <patternFill>
          <bgColor theme="5" tint="0.59996337778862885"/>
        </patternFill>
      </fill>
    </dxf>
    <dxf>
      <font>
        <b/>
        <i val="0"/>
        <condense val="0"/>
        <extend val="0"/>
        <color auto="1"/>
      </font>
      <fill>
        <patternFill>
          <bgColor theme="5" tint="0.59996337778862885"/>
        </patternFill>
      </fill>
    </dxf>
    <dxf>
      <font>
        <condense val="0"/>
        <extend val="0"/>
        <color indexed="9"/>
      </font>
      <fill>
        <patternFill>
          <bgColor indexed="9"/>
        </patternFill>
      </fill>
      <border>
        <left/>
        <right/>
        <top/>
        <bottom/>
      </border>
    </dxf>
    <dxf>
      <font>
        <condense val="0"/>
        <extend val="0"/>
        <color indexed="9"/>
      </font>
    </dxf>
    <dxf>
      <font>
        <b/>
        <i val="0"/>
        <condense val="0"/>
        <extend val="0"/>
        <color auto="1"/>
      </font>
      <fill>
        <patternFill>
          <bgColor theme="5" tint="0.59996337778862885"/>
        </patternFill>
      </fill>
    </dxf>
    <dxf>
      <font>
        <color theme="0"/>
      </font>
      <fill>
        <patternFill>
          <bgColor theme="0"/>
        </patternFill>
      </fill>
      <border>
        <left/>
        <right/>
        <top/>
        <bottom/>
        <vertical/>
        <horizontal/>
      </border>
    </dxf>
    <dxf>
      <font>
        <color theme="5" tint="0.59996337778862885"/>
      </font>
      <fill>
        <patternFill>
          <bgColor theme="1"/>
        </patternFill>
      </fill>
    </dxf>
    <dxf>
      <font>
        <color theme="5" tint="0.59996337778862885"/>
      </font>
      <fill>
        <patternFill>
          <bgColor theme="1"/>
        </patternFill>
      </fill>
    </dxf>
    <dxf>
      <fill>
        <patternFill>
          <bgColor theme="0"/>
        </patternFill>
      </fill>
      <border>
        <left/>
        <right/>
        <top/>
        <bottom/>
      </border>
    </dxf>
    <dxf>
      <fill>
        <patternFill>
          <bgColor theme="0"/>
        </patternFill>
      </fill>
      <border>
        <left/>
        <right/>
        <top/>
        <bottom/>
      </border>
    </dxf>
    <dxf>
      <fill>
        <patternFill>
          <bgColor theme="0"/>
        </patternFill>
      </fill>
      <border>
        <left/>
        <right/>
        <top/>
        <bottom/>
      </border>
    </dxf>
    <dxf>
      <fill>
        <patternFill patternType="solid">
          <bgColor theme="0"/>
        </patternFill>
      </fill>
      <border>
        <left/>
        <right/>
        <top/>
        <bottom/>
      </border>
    </dxf>
    <dxf>
      <fill>
        <patternFill>
          <bgColor theme="0"/>
        </patternFill>
      </fill>
    </dxf>
    <dxf>
      <font>
        <color theme="0"/>
      </font>
      <fill>
        <patternFill>
          <bgColor theme="0"/>
        </patternFill>
      </fill>
      <border>
        <left/>
        <right/>
        <top/>
        <bottom/>
      </border>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FFF99"/>
      <color rgb="FFFFCC99"/>
      <color rgb="FFFFCC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cid:image001.gif@01CC8829.1FDF82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219075</xdr:colOff>
      <xdr:row>1</xdr:row>
      <xdr:rowOff>118110</xdr:rowOff>
    </xdr:from>
    <xdr:to>
      <xdr:col>8</xdr:col>
      <xdr:colOff>104775</xdr:colOff>
      <xdr:row>27</xdr:row>
      <xdr:rowOff>66711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9075" y="285750"/>
          <a:ext cx="4762500" cy="415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Important Disclaimer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Levy Calculation Form is a worksheet that allows the District to calculate and analyze the available levy and extension amounts and is prepared for informational purposes only.  Reasonable efforts and generally accepted methods of calculation have been incorporated into the spreadsheets.  However, PMA Financial Network, LLC takes no responsibility for the accuracy of the output and it is highly recommended that users verify calculations independently.  The data input, projections, and assumptions provided in this form are based on the information provided by the District.  PMA will not verify the accuracy of the data provided by the District and is not responsible for any inaccuracies or incompleteness that appears in the data provided in this form.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Furthermore, the Levy Calculation Form includes a copy of the Illinois State Board of Education Certificate of Tax Levy which is approved for use in 2006.  PMA believes this Levy Calculation Form to be current, but the District should verify that with the Illinois State Board of Education.</a:t>
          </a:r>
        </a:p>
        <a:p>
          <a:r>
            <a:rPr lang="en-US" sz="110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129540</xdr:colOff>
          <xdr:row>0</xdr:row>
          <xdr:rowOff>144780</xdr:rowOff>
        </xdr:from>
        <xdr:to>
          <xdr:col>16383</xdr:col>
          <xdr:colOff>129540</xdr:colOff>
          <xdr:row>54</xdr:row>
          <xdr:rowOff>60960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238125</xdr:colOff>
      <xdr:row>20</xdr:row>
      <xdr:rowOff>95250</xdr:rowOff>
    </xdr:from>
    <xdr:to>
      <xdr:col>10</xdr:col>
      <xdr:colOff>85725</xdr:colOff>
      <xdr:row>42</xdr:row>
      <xdr:rowOff>38100</xdr:rowOff>
    </xdr:to>
    <xdr:pic>
      <xdr:nvPicPr>
        <xdr:cNvPr id="5381" name="Picture 2">
          <a:extLst>
            <a:ext uri="{FF2B5EF4-FFF2-40B4-BE49-F238E27FC236}">
              <a16:creationId xmlns:a16="http://schemas.microsoft.com/office/drawing/2014/main" id="{00000000-0008-0000-04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3990975"/>
          <a:ext cx="4724400" cy="370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46</xdr:row>
      <xdr:rowOff>85725</xdr:rowOff>
    </xdr:from>
    <xdr:to>
      <xdr:col>10</xdr:col>
      <xdr:colOff>228600</xdr:colOff>
      <xdr:row>70</xdr:row>
      <xdr:rowOff>47625</xdr:rowOff>
    </xdr:to>
    <xdr:pic>
      <xdr:nvPicPr>
        <xdr:cNvPr id="5382" name="Picture 3">
          <a:extLst>
            <a:ext uri="{FF2B5EF4-FFF2-40B4-BE49-F238E27FC236}">
              <a16:creationId xmlns:a16="http://schemas.microsoft.com/office/drawing/2014/main" id="{00000000-0008-0000-0400-000006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0" y="8429625"/>
          <a:ext cx="4819650"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70</xdr:row>
      <xdr:rowOff>152400</xdr:rowOff>
    </xdr:from>
    <xdr:to>
      <xdr:col>10</xdr:col>
      <xdr:colOff>247650</xdr:colOff>
      <xdr:row>92</xdr:row>
      <xdr:rowOff>9525</xdr:rowOff>
    </xdr:to>
    <xdr:pic>
      <xdr:nvPicPr>
        <xdr:cNvPr id="5383" name="Picture 4">
          <a:extLst>
            <a:ext uri="{FF2B5EF4-FFF2-40B4-BE49-F238E27FC236}">
              <a16:creationId xmlns:a16="http://schemas.microsoft.com/office/drawing/2014/main" id="{00000000-0008-0000-0400-0000071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0" y="12382500"/>
          <a:ext cx="4819650"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561975</xdr:colOff>
      <xdr:row>3</xdr:row>
      <xdr:rowOff>209550</xdr:rowOff>
    </xdr:from>
    <xdr:to>
      <xdr:col>7</xdr:col>
      <xdr:colOff>200025</xdr:colOff>
      <xdr:row>4</xdr:row>
      <xdr:rowOff>209550</xdr:rowOff>
    </xdr:to>
    <xdr:pic>
      <xdr:nvPicPr>
        <xdr:cNvPr id="5384" name="Picture 5" descr="Button image">
          <a:extLst>
            <a:ext uri="{FF2B5EF4-FFF2-40B4-BE49-F238E27FC236}">
              <a16:creationId xmlns:a16="http://schemas.microsoft.com/office/drawing/2014/main" id="{00000000-0008-0000-0400-000008150000}"/>
            </a:ext>
          </a:extLst>
        </xdr:cNvPr>
        <xdr:cNvPicPr>
          <a:picLocks noChangeAspect="1" noChangeArrowheads="1"/>
        </xdr:cNvPicPr>
      </xdr:nvPicPr>
      <xdr:blipFill>
        <a:blip xmlns:r="http://schemas.openxmlformats.org/officeDocument/2006/relationships" r:link="rId4">
          <a:extLst>
            <a:ext uri="{28A0092B-C50C-407E-A947-70E740481C1C}">
              <a14:useLocalDpi xmlns:a14="http://schemas.microsoft.com/office/drawing/2010/main" val="0"/>
            </a:ext>
          </a:extLst>
        </a:blip>
        <a:srcRect/>
        <a:stretch>
          <a:fillRect/>
        </a:stretch>
      </xdr:blipFill>
      <xdr:spPr bwMode="auto">
        <a:xfrm>
          <a:off x="4219575" y="695325"/>
          <a:ext cx="2476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FF99"/>
  </sheetPr>
  <dimension ref="A1"/>
  <sheetViews>
    <sheetView workbookViewId="0">
      <selection activeCell="J1" sqref="J1"/>
    </sheetView>
  </sheetViews>
  <sheetFormatPr defaultRowHeight="13.2" x14ac:dyDescent="0.25"/>
  <sheetData/>
  <sheetProtection algorithmName="SHA-512" hashValue="XHJbAfDRuVGZujlT8TdeLlKKwN5MRBj7CTKm+gpq0c3ebTA/fMg0tXFjeV06Nn5KjDHtywFSjbgMDkypbVHNQQ==" saltValue="+t34dcR5vqSZMAWU+UP2Ng==" spinCount="100000"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FF99"/>
  </sheetPr>
  <dimension ref="A1:C55"/>
  <sheetViews>
    <sheetView showGridLines="0" topLeftCell="A27" zoomScaleNormal="100" workbookViewId="0">
      <selection activeCell="J1" sqref="J1"/>
    </sheetView>
  </sheetViews>
  <sheetFormatPr defaultColWidth="0" defaultRowHeight="13.2" zeroHeight="1" x14ac:dyDescent="0.25"/>
  <cols>
    <col min="1" max="10" width="9.21875" customWidth="1"/>
  </cols>
  <sheetData>
    <row r="1" spans="1:3" x14ac:dyDescent="0.25">
      <c r="A1" s="124" t="s">
        <v>152</v>
      </c>
      <c r="B1" s="125"/>
      <c r="C1" s="124"/>
    </row>
    <row r="2" spans="1:3" x14ac:dyDescent="0.25">
      <c r="A2" s="124"/>
      <c r="B2" s="125"/>
      <c r="C2" s="124"/>
    </row>
    <row r="3" spans="1:3" x14ac:dyDescent="0.25"/>
    <row r="4" spans="1:3" x14ac:dyDescent="0.25"/>
    <row r="5" spans="1:3" x14ac:dyDescent="0.25"/>
    <row r="6" spans="1:3" x14ac:dyDescent="0.25"/>
    <row r="7" spans="1:3" x14ac:dyDescent="0.25"/>
    <row r="8" spans="1:3" x14ac:dyDescent="0.25"/>
    <row r="9" spans="1:3" x14ac:dyDescent="0.25"/>
    <row r="10" spans="1:3" x14ac:dyDescent="0.25"/>
    <row r="11" spans="1:3" x14ac:dyDescent="0.25"/>
    <row r="12" spans="1:3" x14ac:dyDescent="0.25"/>
    <row r="13" spans="1:3" x14ac:dyDescent="0.25"/>
    <row r="14" spans="1:3" x14ac:dyDescent="0.25"/>
    <row r="15" spans="1:3" x14ac:dyDescent="0.25"/>
    <row r="16" spans="1: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sheetProtection algorithmName="SHA-512" hashValue="Y4PwFJXhh+rUW9W7gd2WpQHyg718YBkqsKrIuOoFBy8Z/WcL8g77871DzRxBLxhDEC0d/iJwDqLI46Bd9wbO3Q==" saltValue="dBN82wDgFxtLwgjOT2A6IA==" spinCount="100000" sheet="1" objects="1" scenarios="1"/>
  <phoneticPr fontId="10" type="noConversion"/>
  <pageMargins left="0.5" right="0.5" top="0.5" bottom="0.5" header="0.5" footer="0.5"/>
  <pageSetup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0</xdr:col>
                <xdr:colOff>129540</xdr:colOff>
                <xdr:row>0</xdr:row>
                <xdr:rowOff>144780</xdr:rowOff>
              </from>
              <to>
                <xdr:col>16383</xdr:col>
                <xdr:colOff>129540</xdr:colOff>
                <xdr:row>54</xdr:row>
                <xdr:rowOff>60960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AB63"/>
  <sheetViews>
    <sheetView showGridLines="0" tabSelected="1" zoomScaleNormal="100" workbookViewId="0">
      <selection activeCell="D24" sqref="D24"/>
    </sheetView>
  </sheetViews>
  <sheetFormatPr defaultColWidth="0" defaultRowHeight="13.2" zeroHeight="1" x14ac:dyDescent="0.25"/>
  <cols>
    <col min="1" max="1" width="16.77734375" style="1" customWidth="1"/>
    <col min="2" max="2" width="28.44140625" style="86" customWidth="1"/>
    <col min="3" max="3" width="16.21875" style="1" customWidth="1"/>
    <col min="4" max="4" width="18.21875" style="1" customWidth="1"/>
    <col min="5" max="5" width="12.77734375" style="87" bestFit="1" customWidth="1"/>
    <col min="6" max="6" width="12" style="87" bestFit="1" customWidth="1"/>
    <col min="7" max="8" width="12" style="1" bestFit="1" customWidth="1"/>
    <col min="9" max="27" width="9.21875" style="1" hidden="1" customWidth="1"/>
    <col min="28" max="28" width="9.21875" style="85" hidden="1" customWidth="1"/>
    <col min="29" max="16384" width="9.21875" style="1" hidden="1"/>
  </cols>
  <sheetData>
    <row r="1" spans="1:28" x14ac:dyDescent="0.25">
      <c r="A1" s="124" t="s">
        <v>152</v>
      </c>
      <c r="B1" s="125"/>
      <c r="C1" s="124"/>
      <c r="D1" s="124"/>
      <c r="E1" s="124"/>
      <c r="F1" s="124"/>
      <c r="G1" s="124"/>
      <c r="H1" s="124"/>
    </row>
    <row r="2" spans="1:28" x14ac:dyDescent="0.25">
      <c r="A2" s="124" t="s">
        <v>153</v>
      </c>
      <c r="B2" s="125"/>
      <c r="C2" s="124"/>
      <c r="D2" s="124"/>
      <c r="E2" s="124"/>
      <c r="F2" s="124"/>
      <c r="G2" s="124"/>
      <c r="H2" s="124"/>
    </row>
    <row r="3" spans="1:28" s="87" customFormat="1" ht="18" thickBot="1" x14ac:dyDescent="0.35">
      <c r="A3" s="156" t="s">
        <v>124</v>
      </c>
      <c r="B3" s="157"/>
      <c r="C3" s="156"/>
      <c r="D3" s="157"/>
      <c r="E3" s="157"/>
      <c r="F3" s="171" t="s">
        <v>159</v>
      </c>
      <c r="G3" s="157"/>
      <c r="H3" s="157"/>
      <c r="AB3" s="88" t="s">
        <v>132</v>
      </c>
    </row>
    <row r="4" spans="1:28" s="87" customFormat="1" ht="15.75" customHeight="1" x14ac:dyDescent="0.25">
      <c r="A4" s="157"/>
      <c r="B4" s="158"/>
      <c r="C4" s="157"/>
      <c r="D4" s="157"/>
      <c r="E4" s="170"/>
      <c r="F4" s="189" t="s">
        <v>157</v>
      </c>
      <c r="G4" s="169"/>
      <c r="H4" s="157"/>
      <c r="AB4" s="88" t="s">
        <v>133</v>
      </c>
    </row>
    <row r="5" spans="1:28" ht="15.6" x14ac:dyDescent="0.3">
      <c r="A5" s="159"/>
      <c r="B5" s="159" t="s">
        <v>177</v>
      </c>
      <c r="C5" s="148">
        <v>2022</v>
      </c>
      <c r="D5" s="160"/>
      <c r="E5" s="154"/>
      <c r="F5" s="187" t="s">
        <v>158</v>
      </c>
      <c r="G5" s="155"/>
      <c r="H5" s="157"/>
    </row>
    <row r="6" spans="1:28" s="87" customFormat="1" ht="15.75" customHeight="1" thickBot="1" x14ac:dyDescent="0.3">
      <c r="A6" s="158"/>
      <c r="B6" s="158"/>
      <c r="C6" s="157"/>
      <c r="D6" s="157"/>
      <c r="E6" s="179"/>
      <c r="F6" s="188" t="s">
        <v>163</v>
      </c>
      <c r="G6" s="180"/>
      <c r="H6" s="157"/>
      <c r="AB6" s="88"/>
    </row>
    <row r="7" spans="1:28" ht="15.6" x14ac:dyDescent="0.3">
      <c r="A7" s="159"/>
      <c r="B7" s="159" t="s">
        <v>167</v>
      </c>
      <c r="C7" s="149" t="s">
        <v>243</v>
      </c>
      <c r="D7" s="160" t="s">
        <v>198</v>
      </c>
      <c r="E7" s="157"/>
      <c r="F7" s="157"/>
      <c r="G7" s="157"/>
      <c r="H7" s="157"/>
    </row>
    <row r="8" spans="1:28" ht="15.6" x14ac:dyDescent="0.3">
      <c r="A8" s="159"/>
      <c r="B8" s="159" t="s">
        <v>166</v>
      </c>
      <c r="C8" s="149">
        <v>269</v>
      </c>
      <c r="D8" s="160" t="s">
        <v>199</v>
      </c>
      <c r="E8" s="157"/>
      <c r="F8" s="157"/>
      <c r="G8" s="157"/>
      <c r="H8" s="157"/>
    </row>
    <row r="9" spans="1:28" ht="15.6" x14ac:dyDescent="0.3">
      <c r="A9" s="159"/>
      <c r="B9" s="159" t="s">
        <v>195</v>
      </c>
      <c r="C9" s="149" t="s">
        <v>244</v>
      </c>
      <c r="D9" s="160" t="s">
        <v>220</v>
      </c>
      <c r="E9" s="157"/>
      <c r="F9" s="157"/>
      <c r="G9" s="157"/>
      <c r="H9" s="157"/>
    </row>
    <row r="10" spans="1:28" ht="15.6" x14ac:dyDescent="0.3">
      <c r="A10" s="159"/>
      <c r="B10" s="159" t="s">
        <v>168</v>
      </c>
      <c r="C10" s="149" t="s">
        <v>245</v>
      </c>
      <c r="D10" s="160" t="s">
        <v>217</v>
      </c>
      <c r="E10" s="157"/>
      <c r="F10" s="157"/>
      <c r="G10" s="157"/>
      <c r="H10" s="157"/>
    </row>
    <row r="11" spans="1:28" ht="15.6" x14ac:dyDescent="0.3">
      <c r="A11" s="159"/>
      <c r="B11" s="159" t="s">
        <v>169</v>
      </c>
      <c r="C11" s="149"/>
      <c r="D11" s="160" t="s">
        <v>219</v>
      </c>
      <c r="E11" s="157"/>
      <c r="F11" s="157"/>
      <c r="G11" s="157"/>
      <c r="H11" s="157"/>
    </row>
    <row r="12" spans="1:28" ht="15.6" x14ac:dyDescent="0.3">
      <c r="A12" s="159"/>
      <c r="B12" s="159" t="s">
        <v>170</v>
      </c>
      <c r="C12" s="149"/>
      <c r="D12" s="160" t="s">
        <v>218</v>
      </c>
      <c r="E12" s="157"/>
      <c r="F12" s="157"/>
      <c r="G12" s="157"/>
      <c r="H12" s="157"/>
    </row>
    <row r="13" spans="1:28" s="87" customFormat="1" x14ac:dyDescent="0.25">
      <c r="A13" s="158"/>
      <c r="B13" s="158"/>
      <c r="C13" s="160" t="s">
        <v>125</v>
      </c>
      <c r="D13" s="157"/>
      <c r="E13" s="157"/>
      <c r="F13" s="157"/>
      <c r="G13" s="157"/>
      <c r="H13" s="157"/>
      <c r="AB13" s="88"/>
    </row>
    <row r="14" spans="1:28" s="87" customFormat="1" ht="13.8" thickBot="1" x14ac:dyDescent="0.3">
      <c r="A14" s="158"/>
      <c r="B14" s="158"/>
      <c r="C14" s="157"/>
      <c r="D14" s="157"/>
      <c r="E14" s="157"/>
      <c r="F14" s="157"/>
      <c r="G14" s="157"/>
      <c r="H14" s="157"/>
      <c r="AB14" s="88"/>
    </row>
    <row r="15" spans="1:28" ht="15.6" x14ac:dyDescent="0.3">
      <c r="A15" s="161"/>
      <c r="B15" s="159" t="s">
        <v>171</v>
      </c>
      <c r="C15" s="190" t="s">
        <v>247</v>
      </c>
      <c r="D15" s="160" t="s">
        <v>200</v>
      </c>
      <c r="E15" s="234" t="s">
        <v>196</v>
      </c>
      <c r="F15" s="235"/>
      <c r="G15" s="236"/>
      <c r="H15" s="157"/>
    </row>
    <row r="16" spans="1:28" ht="7.95" customHeight="1" x14ac:dyDescent="0.3">
      <c r="A16" s="161"/>
      <c r="B16" s="159"/>
      <c r="C16" s="161"/>
      <c r="D16" s="161"/>
      <c r="E16" s="237"/>
      <c r="F16" s="238"/>
      <c r="G16" s="239"/>
      <c r="H16" s="157"/>
    </row>
    <row r="17" spans="1:28" s="87" customFormat="1" ht="16.2" thickBot="1" x14ac:dyDescent="0.35">
      <c r="A17" s="158"/>
      <c r="B17" s="159" t="s">
        <v>197</v>
      </c>
      <c r="C17" s="190" t="s">
        <v>133</v>
      </c>
      <c r="D17" s="160" t="s">
        <v>200</v>
      </c>
      <c r="E17" s="240"/>
      <c r="F17" s="241"/>
      <c r="G17" s="242"/>
      <c r="H17" s="157"/>
      <c r="AB17" s="88"/>
    </row>
    <row r="18" spans="1:28" s="87" customFormat="1" x14ac:dyDescent="0.25">
      <c r="A18" s="158"/>
      <c r="B18" s="158"/>
      <c r="C18" s="157"/>
      <c r="D18" s="157"/>
      <c r="E18" s="157"/>
      <c r="F18" s="157"/>
      <c r="G18" s="157"/>
      <c r="H18" s="157"/>
      <c r="AB18" s="88"/>
    </row>
    <row r="19" spans="1:28" ht="15.6" x14ac:dyDescent="0.3">
      <c r="A19" s="159"/>
      <c r="B19" s="159" t="s">
        <v>172</v>
      </c>
      <c r="C19" s="149" t="s">
        <v>134</v>
      </c>
      <c r="D19" s="160"/>
      <c r="E19" s="157"/>
      <c r="F19" s="157"/>
      <c r="G19" s="157"/>
      <c r="H19" s="157"/>
    </row>
    <row r="20" spans="1:28" ht="15.6" x14ac:dyDescent="0.3">
      <c r="A20" s="159"/>
      <c r="B20" s="159" t="s">
        <v>173</v>
      </c>
      <c r="C20" s="149"/>
      <c r="D20" s="160"/>
      <c r="E20" s="157"/>
      <c r="F20" s="157"/>
      <c r="G20" s="157"/>
      <c r="H20" s="157"/>
    </row>
    <row r="21" spans="1:28" s="87" customFormat="1" x14ac:dyDescent="0.25">
      <c r="A21" s="158"/>
      <c r="B21" s="158"/>
      <c r="C21" s="160" t="s">
        <v>126</v>
      </c>
      <c r="D21" s="157"/>
      <c r="E21" s="157"/>
      <c r="F21" s="157"/>
      <c r="G21" s="157"/>
      <c r="H21" s="157"/>
      <c r="AB21" s="88"/>
    </row>
    <row r="22" spans="1:28" s="87" customFormat="1" x14ac:dyDescent="0.25">
      <c r="A22" s="158"/>
      <c r="B22" s="158"/>
      <c r="C22" s="157"/>
      <c r="D22" s="157"/>
      <c r="E22" s="157"/>
      <c r="F22" s="157"/>
      <c r="G22" s="157"/>
      <c r="H22" s="157"/>
      <c r="AB22" s="88"/>
    </row>
    <row r="23" spans="1:28" s="87" customFormat="1" x14ac:dyDescent="0.25">
      <c r="A23" s="158"/>
      <c r="B23" s="158"/>
      <c r="C23" s="157"/>
      <c r="D23" s="157"/>
      <c r="E23" s="157"/>
      <c r="F23" s="157"/>
      <c r="G23" s="157"/>
      <c r="H23" s="157"/>
      <c r="AB23" s="88"/>
    </row>
    <row r="24" spans="1:28" ht="15.6" x14ac:dyDescent="0.3">
      <c r="A24" s="159"/>
      <c r="B24" s="159" t="s">
        <v>174</v>
      </c>
      <c r="C24" s="191">
        <v>4.99E-2</v>
      </c>
      <c r="D24" s="162" t="str">
        <f>" CPI for Year Ending "&amp;C5-1&amp;", Applies to the "&amp;C5&amp;" Levy"</f>
        <v xml:space="preserve"> CPI for Year Ending 2021, Applies to the 2022 Levy</v>
      </c>
      <c r="E24" s="157"/>
      <c r="F24" s="157"/>
      <c r="G24" s="157"/>
      <c r="H24" s="157"/>
    </row>
    <row r="25" spans="1:28" ht="12.75" customHeight="1" x14ac:dyDescent="0.3">
      <c r="A25" s="159"/>
      <c r="B25" s="159"/>
      <c r="C25" s="157"/>
      <c r="D25" s="162"/>
      <c r="E25" s="157"/>
      <c r="F25" s="157"/>
      <c r="G25" s="157"/>
      <c r="H25" s="157"/>
    </row>
    <row r="26" spans="1:28" ht="15.6" x14ac:dyDescent="0.3">
      <c r="A26" s="159"/>
      <c r="B26" s="159" t="str">
        <f>"Actual Total EAV for "&amp;C5-1&amp;" "</f>
        <v xml:space="preserve">Actual Total EAV for 2021 </v>
      </c>
      <c r="C26" s="133">
        <v>33603274</v>
      </c>
      <c r="D26" s="160" t="str">
        <f>" Enter Actual Rate Setting EAV for "&amp;C5-1&amp;""</f>
        <v xml:space="preserve"> Enter Actual Rate Setting EAV for 2021</v>
      </c>
      <c r="E26" s="157"/>
      <c r="F26" s="157"/>
      <c r="G26" s="157"/>
      <c r="H26" s="157"/>
    </row>
    <row r="27" spans="1:28" x14ac:dyDescent="0.25">
      <c r="A27" s="157"/>
      <c r="B27" s="158"/>
      <c r="C27" s="157"/>
      <c r="D27" s="157"/>
      <c r="E27" s="157"/>
      <c r="F27" s="157"/>
      <c r="G27" s="157"/>
      <c r="H27" s="157"/>
    </row>
    <row r="28" spans="1:28" ht="15.6" x14ac:dyDescent="0.3">
      <c r="A28" s="159"/>
      <c r="B28" s="159" t="str">
        <f>"Estimated Existing EAV % Change for "&amp;C5&amp;" "</f>
        <v xml:space="preserve">Estimated Existing EAV % Change for 2022 </v>
      </c>
      <c r="C28" s="192">
        <v>8.0799999999999997E-2</v>
      </c>
      <c r="D28" s="160" t="s">
        <v>202</v>
      </c>
      <c r="E28" s="157"/>
      <c r="F28" s="157"/>
      <c r="G28" s="157"/>
      <c r="H28" s="157"/>
    </row>
    <row r="29" spans="1:28" x14ac:dyDescent="0.25">
      <c r="A29" s="158"/>
      <c r="B29" s="158"/>
      <c r="C29" s="157"/>
      <c r="D29" s="157"/>
      <c r="E29" s="157"/>
      <c r="F29" s="157"/>
      <c r="G29" s="157"/>
      <c r="H29" s="157"/>
    </row>
    <row r="30" spans="1:28" ht="15.6" x14ac:dyDescent="0.3">
      <c r="A30" s="159"/>
      <c r="B30" s="159" t="str">
        <f>"Estimated New Property for "&amp;C5&amp;" "</f>
        <v xml:space="preserve">Estimated New Property for 2022 </v>
      </c>
      <c r="C30" s="133">
        <v>662610</v>
      </c>
      <c r="D30" s="160" t="s">
        <v>201</v>
      </c>
      <c r="E30" s="157"/>
      <c r="F30" s="157"/>
      <c r="G30" s="157"/>
      <c r="H30" s="157"/>
    </row>
    <row r="31" spans="1:28" ht="12.75" customHeight="1" x14ac:dyDescent="0.3">
      <c r="A31" s="159"/>
      <c r="B31" s="159"/>
      <c r="C31" s="157"/>
      <c r="D31" s="160"/>
      <c r="E31" s="157"/>
      <c r="F31" s="157"/>
      <c r="G31" s="157"/>
      <c r="H31" s="157"/>
    </row>
    <row r="32" spans="1:28" ht="15.6" x14ac:dyDescent="0.3">
      <c r="A32" s="159"/>
      <c r="B32" s="159" t="str">
        <f>"Estimated Total EAV for "&amp;C5&amp;" "</f>
        <v xml:space="preserve">Estimated Total EAV for 2022 </v>
      </c>
      <c r="C32" s="196">
        <f>C26*(1+C28)+C30</f>
        <v>36981028.5392</v>
      </c>
      <c r="D32" s="160" t="s">
        <v>164</v>
      </c>
      <c r="E32" s="157"/>
      <c r="F32" s="157"/>
      <c r="G32" s="157"/>
      <c r="H32" s="157"/>
    </row>
    <row r="33" spans="1:28" ht="15.6" x14ac:dyDescent="0.3">
      <c r="A33" s="159"/>
      <c r="B33" s="159" t="s">
        <v>175</v>
      </c>
      <c r="C33" s="193">
        <f>C32/C26-1</f>
        <v>0.10051861432311626</v>
      </c>
      <c r="D33" s="160" t="s">
        <v>164</v>
      </c>
      <c r="E33" s="157"/>
      <c r="F33" s="157"/>
      <c r="G33" s="157"/>
      <c r="H33" s="157"/>
    </row>
    <row r="34" spans="1:28" x14ac:dyDescent="0.25">
      <c r="A34" s="157"/>
      <c r="B34" s="157"/>
      <c r="C34" s="157"/>
      <c r="D34" s="157"/>
      <c r="E34" s="157"/>
      <c r="F34" s="157"/>
      <c r="G34" s="157"/>
      <c r="H34" s="157"/>
    </row>
    <row r="35" spans="1:28" ht="15.6" x14ac:dyDescent="0.3">
      <c r="A35" s="159"/>
      <c r="B35" s="163" t="s">
        <v>176</v>
      </c>
      <c r="C35" s="149">
        <v>0</v>
      </c>
      <c r="D35" s="160" t="s">
        <v>203</v>
      </c>
      <c r="E35" s="157"/>
      <c r="F35" s="157"/>
      <c r="G35" s="157"/>
      <c r="H35" s="157"/>
    </row>
    <row r="36" spans="1:28" ht="13.8" thickBot="1" x14ac:dyDescent="0.3">
      <c r="A36" s="158"/>
      <c r="B36" s="158"/>
      <c r="C36" s="157"/>
      <c r="D36" s="157"/>
      <c r="E36" s="157"/>
      <c r="F36" s="157"/>
      <c r="G36" s="157"/>
      <c r="H36" s="157"/>
    </row>
    <row r="37" spans="1:28" x14ac:dyDescent="0.25">
      <c r="A37" s="158"/>
      <c r="B37" s="158"/>
      <c r="C37" s="157"/>
      <c r="D37" s="157"/>
      <c r="E37" s="234" t="s">
        <v>242</v>
      </c>
      <c r="F37" s="235"/>
      <c r="G37" s="236"/>
      <c r="H37" s="157"/>
      <c r="AB37" s="232"/>
    </row>
    <row r="38" spans="1:28" x14ac:dyDescent="0.25">
      <c r="A38" s="158"/>
      <c r="B38" s="158"/>
      <c r="C38" s="157"/>
      <c r="D38" s="157"/>
      <c r="E38" s="237"/>
      <c r="F38" s="238"/>
      <c r="G38" s="239"/>
      <c r="H38" s="157"/>
      <c r="AB38" s="232"/>
    </row>
    <row r="39" spans="1:28" ht="13.05" customHeight="1" thickBot="1" x14ac:dyDescent="0.3">
      <c r="A39" s="158"/>
      <c r="B39" s="233"/>
      <c r="C39" s="158"/>
      <c r="D39" s="157"/>
      <c r="E39" s="240"/>
      <c r="F39" s="241"/>
      <c r="G39" s="242"/>
      <c r="H39" s="157"/>
    </row>
    <row r="40" spans="1:28" ht="31.95" customHeight="1" x14ac:dyDescent="0.25">
      <c r="A40" s="158"/>
      <c r="B40" s="158"/>
      <c r="C40" s="185" t="s">
        <v>221</v>
      </c>
      <c r="D40" s="185" t="str">
        <f>"Total "&amp;C5-1&amp;" Extension for all Counties"</f>
        <v>Total 2021 Extension for all Counties</v>
      </c>
      <c r="E40" s="186" t="str">
        <f>"Input "&amp;C5-1&amp;" "&amp;C9&amp;" County Extension"</f>
        <v>Input 2021 Ogle County Extension</v>
      </c>
      <c r="F40" s="186" t="str">
        <f>IF(C10="","","Input "&amp;C5-1&amp;" "&amp;C10&amp;" County Extension:")</f>
        <v>Input 2021 DeKalb County Extension:</v>
      </c>
      <c r="G40" s="186" t="str">
        <f>IF(C11="","","Input "&amp;C5-1&amp;" "&amp;C11&amp;" County Extension:")</f>
        <v/>
      </c>
      <c r="H40" s="186" t="str">
        <f>IF(C12="","","Input "&amp;C5-1&amp;" "&amp;C12&amp;" County Extension:")</f>
        <v/>
      </c>
    </row>
    <row r="41" spans="1:28" ht="15.6" x14ac:dyDescent="0.3">
      <c r="A41" s="195" t="str">
        <f>IF($C$15="Yes","N/A"," ")</f>
        <v xml:space="preserve"> </v>
      </c>
      <c r="B41" s="159" t="s">
        <v>178</v>
      </c>
      <c r="C41" s="150">
        <v>2.1</v>
      </c>
      <c r="D41" s="137">
        <f>SUM(E41:H41)</f>
        <v>704623.22</v>
      </c>
      <c r="E41" s="153">
        <v>471064.29</v>
      </c>
      <c r="F41" s="153">
        <v>233558.93</v>
      </c>
      <c r="G41" s="153"/>
      <c r="H41" s="153"/>
    </row>
    <row r="42" spans="1:28" ht="15.6" x14ac:dyDescent="0.3">
      <c r="A42" s="159"/>
      <c r="B42" s="159" t="s">
        <v>179</v>
      </c>
      <c r="C42" s="150">
        <v>0.55000000000000004</v>
      </c>
      <c r="D42" s="137">
        <f t="shared" ref="D42:D51" si="0">SUM(E42:H42)</f>
        <v>184544.86</v>
      </c>
      <c r="E42" s="153">
        <v>123374.03</v>
      </c>
      <c r="F42" s="153">
        <v>61170.83</v>
      </c>
      <c r="G42" s="153"/>
      <c r="H42" s="153"/>
    </row>
    <row r="43" spans="1:28" ht="15.6" x14ac:dyDescent="0.3">
      <c r="A43" s="195" t="str">
        <f>IF($C$15="Yes","N/A"," ")</f>
        <v xml:space="preserve"> </v>
      </c>
      <c r="B43" s="159" t="s">
        <v>180</v>
      </c>
      <c r="C43" s="150">
        <v>0.12</v>
      </c>
      <c r="D43" s="137">
        <f t="shared" si="0"/>
        <v>40263.479999999996</v>
      </c>
      <c r="E43" s="153">
        <v>26917.32</v>
      </c>
      <c r="F43" s="153">
        <v>13346.16</v>
      </c>
      <c r="G43" s="153"/>
      <c r="H43" s="153"/>
    </row>
    <row r="44" spans="1:28" ht="15.6" x14ac:dyDescent="0.3">
      <c r="A44" s="159"/>
      <c r="B44" s="159" t="s">
        <v>181</v>
      </c>
      <c r="C44" s="150">
        <v>0.05</v>
      </c>
      <c r="D44" s="137">
        <f t="shared" si="0"/>
        <v>16778.14</v>
      </c>
      <c r="E44" s="153">
        <v>11217.05</v>
      </c>
      <c r="F44" s="153">
        <v>5561.09</v>
      </c>
      <c r="G44" s="153"/>
      <c r="H44" s="153"/>
    </row>
    <row r="45" spans="1:28" ht="15.6" x14ac:dyDescent="0.3">
      <c r="A45" s="159"/>
      <c r="B45" s="159" t="s">
        <v>182</v>
      </c>
      <c r="C45" s="151"/>
      <c r="D45" s="137">
        <f t="shared" si="0"/>
        <v>6498.88</v>
      </c>
      <c r="E45" s="153">
        <v>4343.97</v>
      </c>
      <c r="F45" s="153">
        <v>2154.91</v>
      </c>
      <c r="G45" s="153"/>
      <c r="H45" s="153"/>
    </row>
    <row r="46" spans="1:28" ht="15.6" x14ac:dyDescent="0.3">
      <c r="A46" s="159"/>
      <c r="B46" s="159" t="s">
        <v>183</v>
      </c>
      <c r="C46" s="151"/>
      <c r="D46" s="137">
        <f t="shared" si="0"/>
        <v>24996.38</v>
      </c>
      <c r="E46" s="153">
        <v>16711.02</v>
      </c>
      <c r="F46" s="153">
        <v>8285.36</v>
      </c>
      <c r="G46" s="153"/>
      <c r="H46" s="153"/>
    </row>
    <row r="47" spans="1:28" ht="15.6" x14ac:dyDescent="0.3">
      <c r="A47" s="159"/>
      <c r="B47" s="159" t="s">
        <v>184</v>
      </c>
      <c r="C47" s="150"/>
      <c r="D47" s="137">
        <f t="shared" si="0"/>
        <v>0</v>
      </c>
      <c r="E47" s="153">
        <v>0</v>
      </c>
      <c r="F47" s="153">
        <v>0</v>
      </c>
      <c r="G47" s="153"/>
      <c r="H47" s="153"/>
    </row>
    <row r="48" spans="1:28" ht="15.6" x14ac:dyDescent="0.3">
      <c r="A48" s="159"/>
      <c r="B48" s="159" t="s">
        <v>185</v>
      </c>
      <c r="C48" s="151"/>
      <c r="D48" s="137">
        <f t="shared" si="0"/>
        <v>132377.98000000001</v>
      </c>
      <c r="E48" s="153">
        <v>88498.77</v>
      </c>
      <c r="F48" s="153">
        <v>43879.21</v>
      </c>
      <c r="G48" s="153"/>
      <c r="H48" s="153"/>
    </row>
    <row r="49" spans="1:8" ht="15.6" x14ac:dyDescent="0.3">
      <c r="A49" s="159"/>
      <c r="B49" s="159" t="s">
        <v>186</v>
      </c>
      <c r="C49" s="150">
        <v>0.02</v>
      </c>
      <c r="D49" s="137">
        <f t="shared" si="0"/>
        <v>6710.57</v>
      </c>
      <c r="E49" s="153">
        <v>4485.47</v>
      </c>
      <c r="F49" s="153">
        <v>2225.1</v>
      </c>
      <c r="G49" s="153"/>
      <c r="H49" s="153"/>
    </row>
    <row r="50" spans="1:8" ht="15.6" x14ac:dyDescent="0.3">
      <c r="A50" s="159"/>
      <c r="B50" s="159" t="s">
        <v>187</v>
      </c>
      <c r="C50" s="150"/>
      <c r="D50" s="137">
        <f t="shared" si="0"/>
        <v>0</v>
      </c>
      <c r="E50" s="153">
        <v>0</v>
      </c>
      <c r="F50" s="153" t="s">
        <v>246</v>
      </c>
      <c r="G50" s="153"/>
      <c r="H50" s="153"/>
    </row>
    <row r="51" spans="1:8" ht="15.6" x14ac:dyDescent="0.3">
      <c r="A51" s="163" t="s">
        <v>188</v>
      </c>
      <c r="B51" s="152" t="s">
        <v>135</v>
      </c>
      <c r="C51" s="150"/>
      <c r="D51" s="137">
        <f t="shared" si="0"/>
        <v>0</v>
      </c>
      <c r="E51" s="153"/>
      <c r="F51" s="153"/>
      <c r="G51" s="153"/>
      <c r="H51" s="153"/>
    </row>
    <row r="52" spans="1:8" ht="15.6" x14ac:dyDescent="0.3">
      <c r="A52" s="159"/>
      <c r="B52" s="164"/>
      <c r="C52" s="159"/>
      <c r="D52" s="165"/>
      <c r="E52" s="158"/>
      <c r="F52" s="158"/>
      <c r="G52" s="158"/>
      <c r="H52" s="158"/>
    </row>
    <row r="53" spans="1:8" ht="15.6" x14ac:dyDescent="0.3">
      <c r="A53" s="157"/>
      <c r="B53" s="157"/>
      <c r="C53" s="159" t="str">
        <f>IF(C15="Yes","Total Capped Extension for "&amp;C5-1&amp;" ","Total Aggregate Extension for "&amp;C5-1&amp;" ")</f>
        <v xml:space="preserve">Total Aggregate Extension for 2021 </v>
      </c>
      <c r="D53" s="145">
        <f>SUM(D41:D51)</f>
        <v>1116793.51</v>
      </c>
      <c r="E53" s="160"/>
      <c r="F53" s="157"/>
      <c r="G53" s="157"/>
      <c r="H53" s="157"/>
    </row>
    <row r="54" spans="1:8" x14ac:dyDescent="0.25">
      <c r="A54" s="157"/>
      <c r="B54" s="157"/>
      <c r="C54" s="157"/>
      <c r="D54" s="157"/>
      <c r="E54" s="157"/>
      <c r="F54" s="157"/>
      <c r="G54" s="157"/>
      <c r="H54" s="157"/>
    </row>
    <row r="55" spans="1:8" ht="15.6" x14ac:dyDescent="0.3">
      <c r="A55" s="157"/>
      <c r="B55" s="157"/>
      <c r="C55" s="159" t="s">
        <v>224</v>
      </c>
      <c r="D55" s="138">
        <v>0</v>
      </c>
      <c r="E55" s="157"/>
      <c r="F55" s="162"/>
      <c r="G55" s="166"/>
      <c r="H55" s="162"/>
    </row>
    <row r="56" spans="1:8" ht="15.6" x14ac:dyDescent="0.3">
      <c r="A56" s="157"/>
      <c r="B56" s="157"/>
      <c r="C56" s="159"/>
      <c r="D56" s="157"/>
      <c r="E56" s="157"/>
      <c r="F56" s="157"/>
      <c r="G56" s="157"/>
      <c r="H56" s="157"/>
    </row>
    <row r="57" spans="1:8" ht="15.6" x14ac:dyDescent="0.3">
      <c r="A57" s="157"/>
      <c r="B57" s="157"/>
      <c r="C57" s="159" t="str">
        <f>"Bond and Interest Extension for "&amp;C5-1&amp;" "</f>
        <v xml:space="preserve">Bond and Interest Extension for 2021 </v>
      </c>
      <c r="D57" s="138">
        <v>0</v>
      </c>
      <c r="E57" s="157"/>
      <c r="F57" s="157"/>
      <c r="G57" s="157"/>
      <c r="H57" s="157"/>
    </row>
    <row r="58" spans="1:8" ht="15.6" x14ac:dyDescent="0.3">
      <c r="A58" s="159"/>
      <c r="B58" s="159"/>
      <c r="C58" s="159"/>
      <c r="D58" s="167"/>
      <c r="E58" s="157"/>
      <c r="F58" s="157"/>
      <c r="G58" s="157"/>
      <c r="H58" s="157"/>
    </row>
    <row r="59" spans="1:8" ht="15.6" x14ac:dyDescent="0.3">
      <c r="A59" s="159"/>
      <c r="B59" s="159"/>
      <c r="C59" s="159" t="str">
        <f>"Total "&amp;C5-1&amp;" Extension "</f>
        <v xml:space="preserve">Total 2021 Extension </v>
      </c>
      <c r="D59" s="145">
        <f>D53+D57+D55</f>
        <v>1116793.51</v>
      </c>
      <c r="E59" s="160" t="s">
        <v>155</v>
      </c>
      <c r="F59" s="160"/>
      <c r="G59" s="160"/>
      <c r="H59" s="160"/>
    </row>
    <row r="60" spans="1:8" ht="15.6" x14ac:dyDescent="0.3">
      <c r="A60" s="158"/>
      <c r="B60" s="158"/>
      <c r="C60" s="159"/>
      <c r="D60" s="157"/>
      <c r="E60" s="160" t="s">
        <v>154</v>
      </c>
      <c r="F60" s="160"/>
      <c r="G60" s="160"/>
      <c r="H60" s="160"/>
    </row>
    <row r="61" spans="1:8" x14ac:dyDescent="0.25">
      <c r="A61" s="168" t="s">
        <v>130</v>
      </c>
      <c r="B61" s="158"/>
      <c r="C61" s="157"/>
      <c r="D61" s="157"/>
      <c r="E61" s="157"/>
      <c r="F61" s="157"/>
      <c r="G61" s="157"/>
      <c r="H61" s="157"/>
    </row>
    <row r="62" spans="1:8" x14ac:dyDescent="0.25">
      <c r="A62" s="168" t="s">
        <v>129</v>
      </c>
      <c r="B62" s="158"/>
      <c r="C62" s="157"/>
      <c r="D62" s="157"/>
      <c r="E62" s="157"/>
      <c r="F62" s="157"/>
      <c r="G62" s="157"/>
      <c r="H62" s="157"/>
    </row>
    <row r="63" spans="1:8" x14ac:dyDescent="0.25">
      <c r="A63" s="158"/>
      <c r="B63" s="158"/>
      <c r="C63" s="158"/>
      <c r="D63" s="157"/>
      <c r="E63" s="157"/>
      <c r="F63" s="157"/>
      <c r="G63" s="157"/>
      <c r="H63" s="157"/>
    </row>
  </sheetData>
  <sheetProtection algorithmName="SHA-512" hashValue="1OB4UTigB9P2ZtuwVWBse7+1aIXOjcSWBu72R1fZU39/YZ7OgBDfjQjes7Kpt7d2CeKLT9fRr5BAmqpDZGar8w==" saltValue="bAkZV81BJJmIUdfvQBsv0Q==" spinCount="100000" sheet="1" objects="1" scenarios="1"/>
  <mergeCells count="2">
    <mergeCell ref="E15:G17"/>
    <mergeCell ref="E37:G39"/>
  </mergeCells>
  <phoneticPr fontId="10" type="noConversion"/>
  <conditionalFormatting sqref="D24:D25 A24:B25 A17">
    <cfRule type="expression" dxfId="71" priority="11" stopIfTrue="1">
      <formula>$C$15="No"</formula>
    </cfRule>
  </conditionalFormatting>
  <conditionalFormatting sqref="C24">
    <cfRule type="expression" dxfId="70" priority="12" stopIfTrue="1">
      <formula>$C$15="No"</formula>
    </cfRule>
  </conditionalFormatting>
  <conditionalFormatting sqref="F40:H40">
    <cfRule type="expression" dxfId="69" priority="13" stopIfTrue="1">
      <formula>$C$10=""</formula>
    </cfRule>
  </conditionalFormatting>
  <conditionalFormatting sqref="F42:F51">
    <cfRule type="expression" dxfId="68" priority="14" stopIfTrue="1">
      <formula>$C$10=""</formula>
    </cfRule>
  </conditionalFormatting>
  <conditionalFormatting sqref="G41:G51">
    <cfRule type="expression" dxfId="67" priority="15" stopIfTrue="1">
      <formula>$C$11=""</formula>
    </cfRule>
  </conditionalFormatting>
  <conditionalFormatting sqref="H41:H51">
    <cfRule type="expression" dxfId="66" priority="16" stopIfTrue="1">
      <formula>$C$12=""</formula>
    </cfRule>
  </conditionalFormatting>
  <conditionalFormatting sqref="F41">
    <cfRule type="expression" dxfId="65" priority="17" stopIfTrue="1">
      <formula>$C$10=""</formula>
    </cfRule>
  </conditionalFormatting>
  <conditionalFormatting sqref="C41">
    <cfRule type="expression" dxfId="64" priority="9">
      <formula>$A$41="N/A"</formula>
    </cfRule>
  </conditionalFormatting>
  <conditionalFormatting sqref="C43">
    <cfRule type="expression" dxfId="63" priority="7" stopIfTrue="1">
      <formula>$A$43="N/A"</formula>
    </cfRule>
  </conditionalFormatting>
  <conditionalFormatting sqref="B55:D55">
    <cfRule type="expression" dxfId="62" priority="4">
      <formula>$C$15="No"</formula>
    </cfRule>
  </conditionalFormatting>
  <dataValidations count="2">
    <dataValidation type="list" showInputMessage="1" showErrorMessage="1" error="Please input only Yes or No" prompt="Is the District subject to PTELL - Tax Cap?" sqref="C15" xr:uid="{00000000-0002-0000-0200-000000000000}">
      <formula1>$AB$3:$AB$4</formula1>
    </dataValidation>
    <dataValidation type="list" showInputMessage="1" showErrorMessage="1" error="Please input only Yes or No" prompt="This determines individual fund maximums on the Calculations and Extension tabs" sqref="C17" xr:uid="{00000000-0002-0000-0200-000001000000}">
      <formula1>$AB$3:$AB$4</formula1>
    </dataValidation>
  </dataValidations>
  <pageMargins left="0.5" right="0.5" top="0.5" bottom="0.5" header="0.5" footer="0.5"/>
  <pageSetup scale="75" orientation="portrait" r:id="rId1"/>
  <headerFooter alignWithMargins="0"/>
  <ignoredErrors>
    <ignoredError sqref="A4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pageSetUpPr fitToPage="1"/>
  </sheetPr>
  <dimension ref="A1:L38"/>
  <sheetViews>
    <sheetView showGridLines="0" topLeftCell="A13" zoomScaleNormal="100" workbookViewId="0">
      <selection activeCell="H16" sqref="H16"/>
    </sheetView>
  </sheetViews>
  <sheetFormatPr defaultColWidth="0" defaultRowHeight="13.2" zeroHeight="1" x14ac:dyDescent="0.25"/>
  <cols>
    <col min="1" max="1" width="30" style="1" customWidth="1"/>
    <col min="2" max="2" width="18.21875" style="1" customWidth="1"/>
    <col min="3" max="3" width="15.44140625" style="1" customWidth="1"/>
    <col min="4" max="4" width="23" style="1" bestFit="1" customWidth="1"/>
    <col min="5" max="5" width="1.5546875" style="1" customWidth="1"/>
    <col min="6" max="6" width="21.77734375" style="1" customWidth="1"/>
    <col min="7" max="7" width="19.21875" style="1" customWidth="1"/>
    <col min="8" max="8" width="19" style="1" customWidth="1"/>
    <col min="9" max="9" width="2.77734375" style="1" customWidth="1"/>
    <col min="10" max="10" width="19" style="1" customWidth="1"/>
    <col min="11" max="12" width="11.77734375" style="1" customWidth="1"/>
    <col min="13" max="13" width="0.77734375" style="1" customWidth="1"/>
    <col min="14" max="16384" width="0" style="1" hidden="1"/>
  </cols>
  <sheetData>
    <row r="1" spans="1:12" ht="15.75" customHeight="1" thickBot="1" x14ac:dyDescent="0.35">
      <c r="H1" s="126" t="s">
        <v>160</v>
      </c>
      <c r="J1" s="261" t="s">
        <v>159</v>
      </c>
      <c r="K1" s="261"/>
      <c r="L1" s="261"/>
    </row>
    <row r="2" spans="1:12" ht="15.75" customHeight="1" x14ac:dyDescent="0.3">
      <c r="A2" s="245" t="str">
        <f>Input!$C$5&amp;" LEVY CALCULATION PAGE "</f>
        <v xml:space="preserve">2022 LEVY CALCULATION PAGE </v>
      </c>
      <c r="B2" s="245"/>
      <c r="F2" s="174"/>
      <c r="G2" s="174" t="s">
        <v>174</v>
      </c>
      <c r="H2" s="177">
        <f>Input!$C$24</f>
        <v>4.99E-2</v>
      </c>
      <c r="J2" s="252" t="s">
        <v>157</v>
      </c>
      <c r="K2" s="253"/>
      <c r="L2" s="254"/>
    </row>
    <row r="3" spans="1:12" ht="15.75" customHeight="1" x14ac:dyDescent="0.3">
      <c r="F3" s="125"/>
      <c r="G3" s="174" t="str">
        <f>"Actual Total EAV for "&amp;Input!C5-1&amp;" "</f>
        <v xml:space="preserve">Actual Total EAV for 2021 </v>
      </c>
      <c r="H3" s="131">
        <f>Input!$C$26</f>
        <v>33603274</v>
      </c>
      <c r="J3" s="255" t="s">
        <v>158</v>
      </c>
      <c r="K3" s="256"/>
      <c r="L3" s="257"/>
    </row>
    <row r="4" spans="1:12" ht="16.2" thickBot="1" x14ac:dyDescent="0.35">
      <c r="F4" s="174"/>
      <c r="I4" s="127"/>
      <c r="J4" s="258" t="s">
        <v>163</v>
      </c>
      <c r="K4" s="259"/>
      <c r="L4" s="260"/>
    </row>
    <row r="5" spans="1:12" ht="15.6" x14ac:dyDescent="0.3">
      <c r="A5" s="250" t="s">
        <v>127</v>
      </c>
      <c r="B5" s="246" t="s">
        <v>131</v>
      </c>
      <c r="C5" s="246"/>
      <c r="D5" s="246"/>
      <c r="F5" s="174"/>
      <c r="G5" s="174" t="str">
        <f>"Estimated Existing EAV % change for "&amp;Input!C5&amp;" "</f>
        <v xml:space="preserve">Estimated Existing EAV % change for 2022 </v>
      </c>
      <c r="H5" s="177">
        <f>Input!$C$28</f>
        <v>8.0799999999999997E-2</v>
      </c>
      <c r="I5" s="127"/>
    </row>
    <row r="6" spans="1:12" ht="15.6" x14ac:dyDescent="0.3">
      <c r="A6" s="250"/>
      <c r="B6" s="247" t="s">
        <v>156</v>
      </c>
      <c r="C6" s="247"/>
      <c r="D6" s="247"/>
      <c r="F6" s="174"/>
      <c r="G6" s="174" t="str">
        <f>"Estimated Existing EAV Value for "&amp;Input!C5&amp;" "</f>
        <v xml:space="preserve">Estimated Existing EAV Value for 2022 </v>
      </c>
      <c r="H6" s="131">
        <f>H3*(1+H5)</f>
        <v>36318418.5392</v>
      </c>
      <c r="I6" s="127"/>
    </row>
    <row r="7" spans="1:12" ht="15.75" customHeight="1" x14ac:dyDescent="0.25">
      <c r="F7" s="125"/>
      <c r="G7" s="125"/>
      <c r="H7" s="124"/>
    </row>
    <row r="8" spans="1:12" ht="15.6" x14ac:dyDescent="0.3">
      <c r="F8" s="174"/>
      <c r="G8" s="174" t="str">
        <f>"Estimated New Property for "&amp;Input!C5&amp;" "</f>
        <v xml:space="preserve">Estimated New Property for 2022 </v>
      </c>
      <c r="H8" s="131">
        <f>Input!$C$30</f>
        <v>662610</v>
      </c>
    </row>
    <row r="9" spans="1:12" ht="15.6" x14ac:dyDescent="0.3">
      <c r="A9" s="6" t="s">
        <v>190</v>
      </c>
      <c r="B9" s="181" t="str">
        <f>IF(Input!C15="Yes",Input!D53*(1+MIN(0.05,Input!$C$24))/(Input!$C$32-Input!C30)*100,"N/A")</f>
        <v>N/A</v>
      </c>
      <c r="C9" s="7"/>
      <c r="F9" s="124"/>
      <c r="G9" s="124"/>
    </row>
    <row r="10" spans="1:12" ht="15.6" x14ac:dyDescent="0.3">
      <c r="A10" s="6" t="s">
        <v>191</v>
      </c>
      <c r="B10" s="141" t="str">
        <f>IF(Input!C15="Yes",(B9*Input!C32)/100,"N/A")</f>
        <v>N/A</v>
      </c>
      <c r="C10" s="8"/>
      <c r="F10" s="174"/>
      <c r="G10" s="174" t="str">
        <f>"Estimated Total EAV for "&amp;Input!C5&amp;" "</f>
        <v xml:space="preserve">Estimated Total EAV for 2022 </v>
      </c>
      <c r="H10" s="178">
        <f>Input!$C$32</f>
        <v>36981028.5392</v>
      </c>
      <c r="I10" s="127" t="s">
        <v>164</v>
      </c>
    </row>
    <row r="11" spans="1:12" ht="15.6" x14ac:dyDescent="0.3">
      <c r="F11" s="174"/>
      <c r="G11" s="174" t="str">
        <f>"Estimated Total EAV % change for "&amp;Input!C5&amp;" "</f>
        <v xml:space="preserve">Estimated Total EAV % change for 2022 </v>
      </c>
      <c r="H11" s="176">
        <f>Input!$C$33</f>
        <v>0.10051861432311626</v>
      </c>
      <c r="I11" s="127" t="s">
        <v>164</v>
      </c>
    </row>
    <row r="12" spans="1:12" ht="12.75" customHeight="1" x14ac:dyDescent="0.25">
      <c r="F12" s="248" t="str">
        <f>IF(Input!C15="Yes","Weighted Extension Based on Prior Year Extension","Individual Fund Estimated Maximum Extension")</f>
        <v>Individual Fund Estimated Maximum Extension</v>
      </c>
      <c r="G12" s="248" t="str">
        <f>IF(Input!C15="Yes","Levy Amount $","Levy Amount $")</f>
        <v>Levy Amount $</v>
      </c>
      <c r="H12" s="248" t="s">
        <v>240</v>
      </c>
    </row>
    <row r="13" spans="1:12" ht="36" customHeight="1" x14ac:dyDescent="0.25">
      <c r="B13" s="9" t="s">
        <v>189</v>
      </c>
      <c r="C13" s="9" t="s">
        <v>222</v>
      </c>
      <c r="D13" s="9" t="str">
        <f>IF(Input!$C$17="no","Individual Fund Estimated Maximum Extension","Individual Fund Estimated Maximum Extension using Prior Year EAV")</f>
        <v>Individual Fund Estimated Maximum Extension</v>
      </c>
      <c r="F13" s="249"/>
      <c r="G13" s="249"/>
      <c r="H13" s="249"/>
      <c r="J13" s="10" t="s">
        <v>241</v>
      </c>
      <c r="K13" s="248" t="s">
        <v>225</v>
      </c>
      <c r="L13" s="248"/>
    </row>
    <row r="14" spans="1:12" ht="15.6" x14ac:dyDescent="0.3">
      <c r="A14" s="2" t="s">
        <v>178</v>
      </c>
      <c r="B14" s="142">
        <f>Input!D41</f>
        <v>704623.22</v>
      </c>
      <c r="C14" s="143">
        <f>Input!C41</f>
        <v>2.1</v>
      </c>
      <c r="D14" s="142">
        <f>IF(Input!$C$17="no",C14*Input!$C$32,C14*($H$3+$H$8))/100</f>
        <v>776601.59932319995</v>
      </c>
      <c r="F14" s="142">
        <f>IF(Input!$C$15="Yes",B14/$B$27*$B$10,D14)</f>
        <v>776601.59932319995</v>
      </c>
      <c r="G14" s="133">
        <v>750000</v>
      </c>
      <c r="H14" s="144"/>
      <c r="J14" s="142">
        <f>ROUNDUP(IF(G14="",F14*(1+H14),G14*(1+H14)),0)</f>
        <v>750000</v>
      </c>
      <c r="K14" s="243" t="str">
        <f>IF(Input!$C$15="Yes","",IF(J14&gt;=D14,"YES","NO"))</f>
        <v>NO</v>
      </c>
      <c r="L14" s="244"/>
    </row>
    <row r="15" spans="1:12" ht="15.6" x14ac:dyDescent="0.3">
      <c r="A15" s="2" t="s">
        <v>179</v>
      </c>
      <c r="B15" s="142">
        <f>Input!D42</f>
        <v>184544.86</v>
      </c>
      <c r="C15" s="143">
        <f>Input!C42</f>
        <v>0.55000000000000004</v>
      </c>
      <c r="D15" s="142">
        <f>IF(Input!$C$17="no",C15*Input!$C$32,C15*($H$3+$H$8))/100</f>
        <v>203395.65696560004</v>
      </c>
      <c r="F15" s="142">
        <f>IF(Input!$C$15="Yes",B15/$B$27*$B$10,D15)</f>
        <v>203395.65696560004</v>
      </c>
      <c r="G15" s="133">
        <v>190000</v>
      </c>
      <c r="H15" s="144"/>
      <c r="J15" s="142">
        <f>ROUNDUP(IF(G15="",F15*(1+H15),G15*(1+H15)),0)</f>
        <v>190000</v>
      </c>
      <c r="K15" s="243" t="str">
        <f>IF(Input!$C$15="Yes","",IF(J15&gt;=D15,"YES","NO"))</f>
        <v>NO</v>
      </c>
      <c r="L15" s="244"/>
    </row>
    <row r="16" spans="1:12" ht="15.6" x14ac:dyDescent="0.3">
      <c r="A16" s="2" t="s">
        <v>180</v>
      </c>
      <c r="B16" s="142">
        <f>Input!D43</f>
        <v>40263.479999999996</v>
      </c>
      <c r="C16" s="143">
        <f>Input!C43</f>
        <v>0.12</v>
      </c>
      <c r="D16" s="142">
        <f>IF(Input!$C$17="no",C16*Input!$C$32,C16*($H$3+$H$8))/100</f>
        <v>44377.234247040004</v>
      </c>
      <c r="F16" s="142">
        <f>IF(Input!$C$15="Yes",B16/$B$27*$B$10,D16)</f>
        <v>44377.234247040004</v>
      </c>
      <c r="G16" s="133">
        <v>42000</v>
      </c>
      <c r="H16" s="144"/>
      <c r="J16" s="142">
        <f>ROUNDUP(IF(G16="",F16*(1+H16),G16*(1+H16)),0)</f>
        <v>42000</v>
      </c>
      <c r="K16" s="243" t="str">
        <f>IF(Input!$C$15="Yes","",IF(J16&gt;=D16,"YES","NO"))</f>
        <v>NO</v>
      </c>
      <c r="L16" s="244"/>
    </row>
    <row r="17" spans="1:12" ht="15.6" x14ac:dyDescent="0.3">
      <c r="A17" s="2" t="s">
        <v>181</v>
      </c>
      <c r="B17" s="142">
        <f>Input!D44</f>
        <v>16778.14</v>
      </c>
      <c r="C17" s="143">
        <f>Input!C44</f>
        <v>0.05</v>
      </c>
      <c r="D17" s="142">
        <f>IF(Input!$C$17="no",C17*Input!$C$32,C17*($H$3+$H$8))/100</f>
        <v>18490.5142696</v>
      </c>
      <c r="F17" s="142">
        <f>IF(Input!$C$15="Yes",B17/$B$27*$B$10,D17)</f>
        <v>18490.5142696</v>
      </c>
      <c r="G17" s="133">
        <v>16786.53</v>
      </c>
      <c r="H17" s="144"/>
      <c r="J17" s="142">
        <f>ROUNDUP(IF(G17="",F17*(1+H17),G17*(1+H17)),0)</f>
        <v>16787</v>
      </c>
      <c r="K17" s="243" t="str">
        <f>IF(Input!$C$15="Yes","",IF(J17&gt;=D17,"YES","NO"))</f>
        <v>NO</v>
      </c>
      <c r="L17" s="244"/>
    </row>
    <row r="18" spans="1:12" ht="15.6" x14ac:dyDescent="0.3">
      <c r="A18" s="2" t="s">
        <v>182</v>
      </c>
      <c r="B18" s="142">
        <f>Input!D45</f>
        <v>6498.88</v>
      </c>
      <c r="C18" s="89"/>
      <c r="D18" s="91" t="str">
        <f>IF(Input!C15="Yes","$0.00 ","Input in Manual Override")</f>
        <v>Input in Manual Override</v>
      </c>
      <c r="F18" s="142" t="str">
        <f>IF(Input!$C$15="Yes",B18/$B$27*$B$10,"Levy Amount $ Required")</f>
        <v>Levy Amount $ Required</v>
      </c>
      <c r="G18" s="133">
        <v>6713.3429999999998</v>
      </c>
      <c r="H18" s="144"/>
      <c r="J18" s="142">
        <f t="shared" ref="J18:J21" si="0">ROUND(IF(G18="",F18*(1+H18),G18*(1+H18)),0)</f>
        <v>6713</v>
      </c>
      <c r="K18" s="243" t="str">
        <f>IF(Input!$C$15="Yes"," ","N/A")</f>
        <v>N/A</v>
      </c>
      <c r="L18" s="263"/>
    </row>
    <row r="19" spans="1:12" ht="15.6" x14ac:dyDescent="0.3">
      <c r="A19" s="2" t="s">
        <v>183</v>
      </c>
      <c r="B19" s="142">
        <f>Input!D46</f>
        <v>24996.38</v>
      </c>
      <c r="C19" s="89"/>
      <c r="D19" s="91" t="str">
        <f>IF(Input!C15="Yes","$0.00 ","Input in Manual Override")</f>
        <v>Input in Manual Override</v>
      </c>
      <c r="F19" s="142" t="str">
        <f>IF(Input!$C$15="Yes",B19/$B$27*$B$10,"Levy Amount $ Required")</f>
        <v>Levy Amount $ Required</v>
      </c>
      <c r="G19" s="133">
        <v>25821.26</v>
      </c>
      <c r="H19" s="144"/>
      <c r="J19" s="142">
        <f t="shared" si="0"/>
        <v>25821</v>
      </c>
      <c r="K19" s="243" t="str">
        <f>IF(Input!$C$15="Yes"," ","N/A")</f>
        <v>N/A</v>
      </c>
      <c r="L19" s="263"/>
    </row>
    <row r="20" spans="1:12" ht="15.6" x14ac:dyDescent="0.3">
      <c r="A20" s="2" t="s">
        <v>184</v>
      </c>
      <c r="B20" s="142">
        <f>Input!D47</f>
        <v>0</v>
      </c>
      <c r="C20" s="143">
        <f>Input!C47</f>
        <v>0</v>
      </c>
      <c r="D20" s="142">
        <f>IF(Input!$C$17="no",C20*Input!$C$32,C20*($H$3+$H$8))/100</f>
        <v>0</v>
      </c>
      <c r="F20" s="142">
        <f>IF(Input!$C$15="Yes",B20/$B$27*$B$10,D20)</f>
        <v>0</v>
      </c>
      <c r="G20" s="133"/>
      <c r="H20" s="144"/>
      <c r="J20" s="142">
        <f>ROUNDUP(IF(G20="",F20*(1+H20),G20*(1+H20)),0)</f>
        <v>0</v>
      </c>
      <c r="K20" s="243" t="str">
        <f>IF(Input!$C$15="Yes","",IF(J20&gt;=D20,"YES","NO"))</f>
        <v>YES</v>
      </c>
      <c r="L20" s="244"/>
    </row>
    <row r="21" spans="1:12" ht="15.6" x14ac:dyDescent="0.3">
      <c r="A21" s="2" t="s">
        <v>185</v>
      </c>
      <c r="B21" s="142">
        <f>Input!D48</f>
        <v>132377.98000000001</v>
      </c>
      <c r="C21" s="89"/>
      <c r="D21" s="91" t="str">
        <f>IF(Input!C15="Yes","$0.00 ","Input in Manual Override")</f>
        <v>Input in Manual Override</v>
      </c>
      <c r="F21" s="142" t="str">
        <f>IF(Input!$C$15="Yes",B21/$B$27*$B$10,"Levy Amount $ Required")</f>
        <v>Levy Amount $ Required</v>
      </c>
      <c r="G21" s="133">
        <v>133000</v>
      </c>
      <c r="H21" s="144"/>
      <c r="J21" s="142">
        <f t="shared" si="0"/>
        <v>133000</v>
      </c>
      <c r="K21" s="243" t="str">
        <f>IF(Input!$C$15="Yes"," ","N/A")</f>
        <v>N/A</v>
      </c>
      <c r="L21" s="263"/>
    </row>
    <row r="22" spans="1:12" ht="15.6" x14ac:dyDescent="0.3">
      <c r="A22" s="2" t="s">
        <v>186</v>
      </c>
      <c r="B22" s="142">
        <f>Input!D49</f>
        <v>6710.57</v>
      </c>
      <c r="C22" s="143">
        <f>Input!C49</f>
        <v>0.02</v>
      </c>
      <c r="D22" s="142">
        <f>IF(Input!$C$17="no",C22*Input!$C$32,C22*($H$3+$H$8))/100</f>
        <v>7396.2057078399994</v>
      </c>
      <c r="F22" s="142">
        <f>IF(Input!$C$15="Yes",B22/$B$27*$B$10,D22)</f>
        <v>7396.2057078399994</v>
      </c>
      <c r="G22" s="133">
        <v>7000</v>
      </c>
      <c r="H22" s="144"/>
      <c r="J22" s="142">
        <f>ROUNDUP(IF(G22="",F22*(1+H22),G22*(1+H22)),0)</f>
        <v>7000</v>
      </c>
      <c r="K22" s="243" t="str">
        <f>IF(Input!$C$15="Yes","",IF(J22&gt;=D22,"YES","NO"))</f>
        <v>NO</v>
      </c>
      <c r="L22" s="244"/>
    </row>
    <row r="23" spans="1:12" ht="15.6" x14ac:dyDescent="0.3">
      <c r="A23" s="2" t="s">
        <v>187</v>
      </c>
      <c r="B23" s="142">
        <f>Input!D50</f>
        <v>0</v>
      </c>
      <c r="C23" s="143">
        <f>Input!C50</f>
        <v>0</v>
      </c>
      <c r="D23" s="142">
        <f>IF(Input!$C$17="no",C23*Input!$C$32,C23*($H$3+$H$8))/100</f>
        <v>0</v>
      </c>
      <c r="F23" s="142">
        <f>IF(Input!$C$15="Yes",B23/$B$27*$B$10,D23)</f>
        <v>0</v>
      </c>
      <c r="G23" s="133">
        <v>0</v>
      </c>
      <c r="H23" s="144"/>
      <c r="J23" s="142">
        <f>ROUNDUP(IF(G23="",F23*(1+H23),G23*(1+H23)),0)</f>
        <v>0</v>
      </c>
      <c r="K23" s="243" t="str">
        <f>IF(Input!$C$15="Yes","",IF(J23&gt;=D23,"YES","NO"))</f>
        <v>YES</v>
      </c>
      <c r="L23" s="244"/>
    </row>
    <row r="24" spans="1:12" ht="15.6" x14ac:dyDescent="0.3">
      <c r="A24" s="2" t="str">
        <f>Input!B51</f>
        <v xml:space="preserve"> </v>
      </c>
      <c r="B24" s="142">
        <f>Input!D51</f>
        <v>0</v>
      </c>
      <c r="C24" s="143">
        <f>Input!C51</f>
        <v>0</v>
      </c>
      <c r="D24" s="142">
        <f>IF(Input!$C$17="no",C24*Input!$C$32,C24*($H$3+$H$8))/100</f>
        <v>0</v>
      </c>
      <c r="F24" s="142">
        <f>IF(Input!$C$15="Yes",B24/$B$27*$B$10,D24)</f>
        <v>0</v>
      </c>
      <c r="G24" s="133">
        <v>0</v>
      </c>
      <c r="H24" s="144"/>
      <c r="J24" s="142">
        <f>ROUNDUP(IF(G24="",F24*(1+H24),G24*(1+H24)),0)</f>
        <v>0</v>
      </c>
      <c r="K24" s="243" t="str">
        <f>IF(Input!$C$15="Yes","",IF(J24&gt;=D24,"YES","NO"))</f>
        <v>YES</v>
      </c>
      <c r="L24" s="244"/>
    </row>
    <row r="25" spans="1:12" s="157" customFormat="1" ht="8.25" customHeight="1" x14ac:dyDescent="0.3">
      <c r="A25" s="159"/>
      <c r="B25" s="216"/>
      <c r="C25" s="217"/>
      <c r="D25" s="216"/>
      <c r="F25" s="216"/>
      <c r="G25" s="218"/>
      <c r="H25" s="219"/>
      <c r="J25" s="216"/>
    </row>
    <row r="26" spans="1:12" ht="21" customHeight="1" thickBot="1" x14ac:dyDescent="0.3">
      <c r="B26" s="4"/>
      <c r="C26" s="4"/>
      <c r="K26" s="262" t="s">
        <v>128</v>
      </c>
      <c r="L26" s="262"/>
    </row>
    <row r="27" spans="1:12" ht="16.2" thickBot="1" x14ac:dyDescent="0.35">
      <c r="A27" s="2" t="str">
        <f>IF(Input!C15="Yes","Capped Extension ","Extension  ")</f>
        <v xml:space="preserve">Extension  </v>
      </c>
      <c r="B27" s="145">
        <f>SUM(B14:B24)</f>
        <v>1116793.51</v>
      </c>
      <c r="C27" s="225"/>
      <c r="D27" s="226">
        <f>SUM(D14:D24)</f>
        <v>1050261.21051328</v>
      </c>
      <c r="F27" s="145">
        <f>SUM(F14:F24)</f>
        <v>1050261.21051328</v>
      </c>
      <c r="G27" s="226">
        <f>SUM(G14:G26)</f>
        <v>1171321.1329999999</v>
      </c>
      <c r="I27" s="2" t="str">
        <f>IF(Input!C15="Yes","Capped Levy ","District Levy ")</f>
        <v xml:space="preserve">District Levy </v>
      </c>
      <c r="J27" s="146">
        <f>SUM(J14:J24)</f>
        <v>1171321</v>
      </c>
      <c r="K27" s="215">
        <f>(J27+J31)/(B27+B31)-1</f>
        <v>4.8825041972172523E-2</v>
      </c>
      <c r="L27" s="214" t="str">
        <f>IF(K27&gt;0.05,"YES","NO")</f>
        <v>NO</v>
      </c>
    </row>
    <row r="28" spans="1:12" ht="16.2" thickBot="1" x14ac:dyDescent="0.35">
      <c r="A28" s="2"/>
      <c r="J28" s="160"/>
      <c r="K28" s="251" t="s">
        <v>223</v>
      </c>
      <c r="L28" s="251"/>
    </row>
    <row r="29" spans="1:12" ht="16.2" thickBot="1" x14ac:dyDescent="0.35">
      <c r="A29" s="2"/>
      <c r="G29" s="221"/>
      <c r="H29" s="221"/>
      <c r="I29" s="194" t="str">
        <f>IF(J29&lt;0,"Levy Amount Below Estimated Extension ","Levy Amount Above Estimated Extension ")</f>
        <v xml:space="preserve">Levy Amount Above Estimated Extension </v>
      </c>
      <c r="J29" s="147" t="str">
        <f>IF(Input!C15="Yes",J27-B10,"N/A")</f>
        <v>N/A</v>
      </c>
    </row>
    <row r="30" spans="1:12" ht="15.6" x14ac:dyDescent="0.3">
      <c r="A30" s="2"/>
      <c r="I30" s="3"/>
      <c r="J30" s="90"/>
    </row>
    <row r="31" spans="1:12" ht="15.6" x14ac:dyDescent="0.3">
      <c r="A31" s="2" t="s">
        <v>236</v>
      </c>
      <c r="B31" s="142">
        <f>Input!D55</f>
        <v>0</v>
      </c>
      <c r="C31" s="127"/>
      <c r="F31" s="2" t="s">
        <v>192</v>
      </c>
      <c r="G31" s="138">
        <v>0</v>
      </c>
      <c r="H31" s="129"/>
      <c r="I31" s="2" t="s">
        <v>235</v>
      </c>
      <c r="J31" s="142">
        <f>G31</f>
        <v>0</v>
      </c>
      <c r="K31" s="129"/>
    </row>
    <row r="32" spans="1:12" ht="19.5" customHeight="1" thickBot="1" x14ac:dyDescent="0.35">
      <c r="A32" s="2"/>
      <c r="G32" s="220" t="s">
        <v>214</v>
      </c>
    </row>
    <row r="33" spans="1:11" ht="16.2" thickBot="1" x14ac:dyDescent="0.35">
      <c r="A33" s="2" t="s">
        <v>227</v>
      </c>
      <c r="B33" s="142">
        <f>Input!D57</f>
        <v>0</v>
      </c>
      <c r="C33" s="11"/>
      <c r="F33" s="2" t="s">
        <v>193</v>
      </c>
      <c r="G33" s="138">
        <v>0</v>
      </c>
      <c r="H33" s="127"/>
      <c r="I33" s="2" t="s">
        <v>233</v>
      </c>
      <c r="J33" s="142">
        <f>G33</f>
        <v>0</v>
      </c>
      <c r="K33" s="215" t="e">
        <f>J33/B33-1</f>
        <v>#DIV/0!</v>
      </c>
    </row>
    <row r="34" spans="1:11" ht="16.2" thickBot="1" x14ac:dyDescent="0.35">
      <c r="A34" s="2"/>
      <c r="B34" s="12"/>
      <c r="C34" s="5"/>
      <c r="D34" s="5"/>
      <c r="G34" s="220" t="s">
        <v>215</v>
      </c>
      <c r="K34" s="85"/>
    </row>
    <row r="35" spans="1:11" ht="16.2" thickBot="1" x14ac:dyDescent="0.35">
      <c r="A35" s="2" t="s">
        <v>228</v>
      </c>
      <c r="B35" s="145">
        <f>B27+B33+B31</f>
        <v>1116793.51</v>
      </c>
      <c r="C35" s="11"/>
      <c r="D35" s="13"/>
      <c r="E35" s="13"/>
      <c r="F35" s="13"/>
      <c r="G35" s="13"/>
      <c r="I35" s="2" t="s">
        <v>194</v>
      </c>
      <c r="J35" s="145">
        <f>J27+J33+J31</f>
        <v>1171321</v>
      </c>
      <c r="K35" s="215">
        <f>J35/B35-1</f>
        <v>4.8825041972172523E-2</v>
      </c>
    </row>
    <row r="36" spans="1:11" x14ac:dyDescent="0.25">
      <c r="C36" s="4"/>
    </row>
    <row r="37" spans="1:11" ht="4.5" customHeight="1" x14ac:dyDescent="0.25">
      <c r="C37" s="4"/>
    </row>
    <row r="38" spans="1:11" hidden="1" x14ac:dyDescent="0.25">
      <c r="C38" s="4"/>
    </row>
  </sheetData>
  <sheetProtection algorithmName="SHA-512" hashValue="RmjgcAQjYYdOEI1OXKM0Ev759AzxE6zpyEAInQK0wbez8L9haChwVlrYbJ+2nN8YoT3FZLw4dFLSkJLc12X5Dw==" saltValue="VbcuAujuhqFnS9bdVPWhLw==" spinCount="100000" sheet="1" objects="1" scenarios="1"/>
  <mergeCells count="25">
    <mergeCell ref="K28:L28"/>
    <mergeCell ref="J2:L2"/>
    <mergeCell ref="J3:L3"/>
    <mergeCell ref="J4:L4"/>
    <mergeCell ref="J1:L1"/>
    <mergeCell ref="K26:L26"/>
    <mergeCell ref="K20:L20"/>
    <mergeCell ref="K22:L22"/>
    <mergeCell ref="K23:L23"/>
    <mergeCell ref="K24:L24"/>
    <mergeCell ref="K18:L18"/>
    <mergeCell ref="K19:L19"/>
    <mergeCell ref="K21:L21"/>
    <mergeCell ref="K13:L13"/>
    <mergeCell ref="K14:L14"/>
    <mergeCell ref="K15:L15"/>
    <mergeCell ref="K16:L16"/>
    <mergeCell ref="K17:L17"/>
    <mergeCell ref="A2:B2"/>
    <mergeCell ref="B5:D5"/>
    <mergeCell ref="B6:D6"/>
    <mergeCell ref="H12:H13"/>
    <mergeCell ref="F12:F13"/>
    <mergeCell ref="G12:G13"/>
    <mergeCell ref="A5:A6"/>
  </mergeCells>
  <phoneticPr fontId="10" type="noConversion"/>
  <conditionalFormatting sqref="L27">
    <cfRule type="cellIs" dxfId="61" priority="68" stopIfTrue="1" operator="equal">
      <formula>"YES"</formula>
    </cfRule>
  </conditionalFormatting>
  <conditionalFormatting sqref="A5:D6">
    <cfRule type="expression" dxfId="60" priority="69" stopIfTrue="1">
      <formula>$B$9="N/A"</formula>
    </cfRule>
  </conditionalFormatting>
  <conditionalFormatting sqref="A9:B10">
    <cfRule type="expression" dxfId="59" priority="70" stopIfTrue="1">
      <formula>$B$9="N/A"</formula>
    </cfRule>
  </conditionalFormatting>
  <conditionalFormatting sqref="J29">
    <cfRule type="cellIs" dxfId="58" priority="67" stopIfTrue="1" operator="lessThan">
      <formula>0</formula>
    </cfRule>
  </conditionalFormatting>
  <conditionalFormatting sqref="G29:I29">
    <cfRule type="expression" dxfId="57" priority="56">
      <formula>$J$29&lt;0</formula>
    </cfRule>
  </conditionalFormatting>
  <conditionalFormatting sqref="K28">
    <cfRule type="expression" dxfId="56" priority="54">
      <formula>$L$27="No"</formula>
    </cfRule>
  </conditionalFormatting>
  <conditionalFormatting sqref="K18">
    <cfRule type="expression" dxfId="55" priority="39">
      <formula>$K$18="N/A"</formula>
    </cfRule>
  </conditionalFormatting>
  <conditionalFormatting sqref="K19">
    <cfRule type="expression" dxfId="54" priority="38">
      <formula>$K$19="N/A"</formula>
    </cfRule>
  </conditionalFormatting>
  <conditionalFormatting sqref="K21:L21">
    <cfRule type="expression" dxfId="53" priority="37">
      <formula>$K$21="N/A"</formula>
    </cfRule>
  </conditionalFormatting>
  <conditionalFormatting sqref="K14:L17">
    <cfRule type="expression" dxfId="52" priority="36">
      <formula>$K14="YES"</formula>
    </cfRule>
    <cfRule type="expression" dxfId="51" priority="47">
      <formula>$K14="NO"</formula>
    </cfRule>
  </conditionalFormatting>
  <conditionalFormatting sqref="K22:L24 K20:L20">
    <cfRule type="expression" dxfId="50" priority="3">
      <formula>$K20="YES"</formula>
    </cfRule>
    <cfRule type="expression" dxfId="49" priority="4">
      <formula>$K20="NO"</formula>
    </cfRule>
  </conditionalFormatting>
  <pageMargins left="0.4" right="0.4" top="0.73" bottom="0.79" header="0.5" footer="0.49"/>
  <pageSetup scale="68" orientation="landscape" r:id="rId1"/>
  <headerFooter alignWithMargins="0"/>
  <ignoredErrors>
    <ignoredError sqref="D20:D21 F20" formula="1"/>
  </ignoredErrors>
  <extLst>
    <ext xmlns:x14="http://schemas.microsoft.com/office/spreadsheetml/2009/9/main" uri="{78C0D931-6437-407d-A8EE-F0AAD7539E65}">
      <x14:conditionalFormattings>
        <x14:conditionalFormatting xmlns:xm="http://schemas.microsoft.com/office/excel/2006/main">
          <x14:cfRule type="expression" priority="62" id="{9EE8C1FA-6602-4A1E-8E7D-97502D644DCF}">
            <xm:f>Input!$A$41="N/A"</xm:f>
            <x14:dxf>
              <fill>
                <patternFill>
                  <bgColor theme="1"/>
                </patternFill>
              </fill>
            </x14:dxf>
          </x14:cfRule>
          <xm:sqref>C14</xm:sqref>
        </x14:conditionalFormatting>
        <x14:conditionalFormatting xmlns:xm="http://schemas.microsoft.com/office/excel/2006/main">
          <x14:cfRule type="expression" priority="61" id="{7BD4A2EA-279A-44A6-8DA4-9A64EED0F4CC}">
            <xm:f>Input!$A$41="N/A"</xm:f>
            <x14:dxf>
              <fill>
                <patternFill>
                  <bgColor theme="1"/>
                </patternFill>
              </fill>
            </x14:dxf>
          </x14:cfRule>
          <xm:sqref>D14</xm:sqref>
        </x14:conditionalFormatting>
        <x14:conditionalFormatting xmlns:xm="http://schemas.microsoft.com/office/excel/2006/main">
          <x14:cfRule type="expression" priority="60" id="{AF7C0CDF-E3C4-4D80-8427-CBA8EF6A9293}">
            <xm:f>Input!$A$43="N/A"</xm:f>
            <x14:dxf>
              <fill>
                <patternFill>
                  <bgColor theme="1"/>
                </patternFill>
              </fill>
            </x14:dxf>
          </x14:cfRule>
          <xm:sqref>C16</xm:sqref>
        </x14:conditionalFormatting>
        <x14:conditionalFormatting xmlns:xm="http://schemas.microsoft.com/office/excel/2006/main">
          <x14:cfRule type="expression" priority="59" id="{C1F72874-620E-48B5-A02A-D9B1527787D5}">
            <xm:f>Input!$A$43="N/A"</xm:f>
            <x14:dxf>
              <fill>
                <patternFill>
                  <bgColor theme="1"/>
                </patternFill>
              </fill>
            </x14:dxf>
          </x14:cfRule>
          <xm:sqref>D16</xm:sqref>
        </x14:conditionalFormatting>
        <x14:conditionalFormatting xmlns:xm="http://schemas.microsoft.com/office/excel/2006/main">
          <x14:cfRule type="expression" priority="57" id="{AFC2C999-DD89-4C2F-97EF-46D1B224C6D4}">
            <xm:f>Input!$C$15="Yes"</xm:f>
            <x14:dxf>
              <font>
                <color theme="0"/>
              </font>
              <fill>
                <patternFill>
                  <bgColor theme="0"/>
                </patternFill>
              </fill>
              <border>
                <left/>
                <right/>
                <top/>
                <bottom/>
                <vertical/>
                <horizontal/>
              </border>
            </x14:dxf>
          </x14:cfRule>
          <xm:sqref>D27</xm:sqref>
        </x14:conditionalFormatting>
        <x14:conditionalFormatting xmlns:xm="http://schemas.microsoft.com/office/excel/2006/main">
          <x14:cfRule type="expression" priority="52" id="{DB631823-708F-445F-8E75-C725E1CB2553}">
            <xm:f>Input!$C$15="No"</xm:f>
            <x14:dxf>
              <font>
                <color theme="0"/>
              </font>
              <fill>
                <patternFill>
                  <bgColor theme="0"/>
                </patternFill>
              </fill>
              <border>
                <left/>
                <right/>
                <top/>
                <bottom style="thin">
                  <color auto="1"/>
                </bottom>
                <vertical/>
                <horizontal/>
              </border>
            </x14:dxf>
          </x14:cfRule>
          <xm:sqref>H2</xm:sqref>
        </x14:conditionalFormatting>
        <x14:conditionalFormatting xmlns:xm="http://schemas.microsoft.com/office/excel/2006/main">
          <x14:cfRule type="expression" priority="51" id="{656AB4A6-6A36-44E4-90CE-14540CD05FFC}">
            <xm:f>Input!$C$15="No"</xm:f>
            <x14:dxf>
              <font>
                <color theme="0"/>
              </font>
            </x14:dxf>
          </x14:cfRule>
          <xm:sqref>G2</xm:sqref>
        </x14:conditionalFormatting>
        <x14:conditionalFormatting xmlns:xm="http://schemas.microsoft.com/office/excel/2006/main">
          <x14:cfRule type="expression" priority="50" id="{9A6FF348-BDC9-4975-B2E6-12B961D4AA49}">
            <xm:f>Input!$C$15="Yes"</xm:f>
            <x14:dxf>
              <font>
                <color theme="0"/>
              </font>
              <fill>
                <patternFill>
                  <bgColor theme="0"/>
                </patternFill>
              </fill>
              <border>
                <left style="thin">
                  <color auto="1"/>
                </left>
                <right/>
                <top/>
                <bottom/>
                <vertical/>
                <horizontal/>
              </border>
            </x14:dxf>
          </x14:cfRule>
          <xm:sqref>G27</xm:sqref>
        </x14:conditionalFormatting>
        <x14:conditionalFormatting xmlns:xm="http://schemas.microsoft.com/office/excel/2006/main">
          <x14:cfRule type="expression" priority="49" id="{7CB6334F-FA46-45F7-BE39-DBC48A053A53}">
            <xm:f>Input!$C$15="No"</xm:f>
            <x14:dxf>
              <font>
                <color theme="0"/>
              </font>
              <fill>
                <patternFill>
                  <bgColor theme="0"/>
                </patternFill>
              </fill>
              <border>
                <left/>
                <right/>
                <top/>
                <bottom/>
                <vertical/>
                <horizontal/>
              </border>
            </x14:dxf>
          </x14:cfRule>
          <xm:sqref>F27</xm:sqref>
        </x14:conditionalFormatting>
        <x14:conditionalFormatting xmlns:xm="http://schemas.microsoft.com/office/excel/2006/main">
          <x14:cfRule type="expression" priority="7" id="{A33B5606-87D4-46CB-877A-21F30CD8BA09}">
            <xm:f>Input!$C$15="Yes"</xm:f>
            <x14:dxf>
              <font>
                <color theme="0"/>
              </font>
            </x14:dxf>
          </x14:cfRule>
          <xm:sqref>K13:L13</xm:sqref>
        </x14:conditionalFormatting>
        <x14:conditionalFormatting xmlns:xm="http://schemas.microsoft.com/office/excel/2006/main">
          <x14:cfRule type="expression" priority="6" id="{ECC4C718-B608-4D3B-915A-B1A1477C0A75}">
            <xm:f>Input!$C$15="No"</xm:f>
            <x14:dxf>
              <font>
                <color theme="0"/>
              </font>
              <fill>
                <patternFill>
                  <bgColor theme="0"/>
                </patternFill>
              </fill>
              <border>
                <left/>
                <right/>
                <top/>
                <bottom/>
                <vertical/>
                <horizontal/>
              </border>
            </x14:dxf>
          </x14:cfRule>
          <xm:sqref>A31:H31 J31:L31</xm:sqref>
        </x14:conditionalFormatting>
        <x14:conditionalFormatting xmlns:xm="http://schemas.microsoft.com/office/excel/2006/main">
          <x14:cfRule type="expression" priority="5" id="{4EF76B04-FFE1-4582-B749-370F859FD5F0}">
            <xm:f>Input!$C$15="No"</xm:f>
            <x14:dxf>
              <font>
                <color theme="0"/>
              </font>
            </x14:dxf>
          </x14:cfRule>
          <xm:sqref>G32</xm:sqref>
        </x14:conditionalFormatting>
        <x14:conditionalFormatting xmlns:xm="http://schemas.microsoft.com/office/excel/2006/main">
          <x14:cfRule type="expression" priority="2" id="{8657D7A4-5B7D-4683-8935-5FD64BD09B82}">
            <xm:f>Input!$C$15="No"</xm:f>
            <x14:dxf>
              <font>
                <color theme="0"/>
              </font>
              <fill>
                <patternFill>
                  <bgColor theme="0"/>
                </patternFill>
              </fill>
              <border>
                <left/>
                <right/>
                <top/>
                <bottom/>
                <vertical/>
                <horizontal/>
              </border>
            </x14:dxf>
          </x14:cfRule>
          <xm:sqref>G29:J29</xm:sqref>
        </x14:conditionalFormatting>
        <x14:conditionalFormatting xmlns:xm="http://schemas.microsoft.com/office/excel/2006/main">
          <x14:cfRule type="expression" priority="1" id="{A9AA9709-126F-494F-B024-698D496FC80B}">
            <xm:f>Input!$C$15="No"</xm:f>
            <x14:dxf>
              <font>
                <color theme="0"/>
              </font>
              <fill>
                <patternFill>
                  <bgColor theme="0"/>
                </patternFill>
              </fill>
            </x14:dxf>
          </x14:cfRule>
          <xm:sqref>I31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4:L93"/>
  <sheetViews>
    <sheetView showGridLines="0" workbookViewId="0">
      <selection activeCell="I8" sqref="I8"/>
    </sheetView>
  </sheetViews>
  <sheetFormatPr defaultRowHeight="13.2" x14ac:dyDescent="0.25"/>
  <sheetData>
    <row r="4" spans="1:11" s="112" customFormat="1" ht="17.399999999999999" x14ac:dyDescent="0.3">
      <c r="C4" s="113" t="s">
        <v>143</v>
      </c>
      <c r="D4" s="114"/>
      <c r="E4" s="114"/>
      <c r="F4" s="114"/>
      <c r="G4" s="114"/>
      <c r="H4" s="114"/>
      <c r="I4" s="114"/>
      <c r="J4" s="115"/>
      <c r="K4" s="115"/>
    </row>
    <row r="5" spans="1:11" s="102" customFormat="1" ht="19.2" x14ac:dyDescent="0.3">
      <c r="A5" s="101" t="s">
        <v>151</v>
      </c>
      <c r="C5" s="103"/>
      <c r="E5" s="104"/>
      <c r="F5" s="105"/>
      <c r="H5" s="105"/>
      <c r="I5" s="105"/>
    </row>
    <row r="6" spans="1:11" s="107" customFormat="1" ht="19.2" x14ac:dyDescent="0.25">
      <c r="A6" s="101" t="s">
        <v>144</v>
      </c>
      <c r="B6" s="106"/>
      <c r="C6" s="106"/>
      <c r="D6" s="106"/>
      <c r="E6" s="106"/>
      <c r="F6" s="106"/>
      <c r="G6" s="106"/>
    </row>
    <row r="7" spans="1:11" s="108" customFormat="1" ht="19.2" x14ac:dyDescent="0.25">
      <c r="A7" s="101" t="s">
        <v>145</v>
      </c>
    </row>
    <row r="8" spans="1:11" s="110" customFormat="1" ht="19.2" x14ac:dyDescent="0.25">
      <c r="A8" s="109" t="s">
        <v>147</v>
      </c>
    </row>
    <row r="9" spans="1:11" s="110" customFormat="1" ht="19.2" x14ac:dyDescent="0.25">
      <c r="A9" s="109" t="s">
        <v>148</v>
      </c>
    </row>
    <row r="10" spans="1:11" s="110" customFormat="1" ht="19.2" x14ac:dyDescent="0.25">
      <c r="A10" s="109" t="s">
        <v>149</v>
      </c>
    </row>
    <row r="11" spans="1:11" s="110" customFormat="1" ht="19.2" x14ac:dyDescent="0.25">
      <c r="A11" s="109" t="s">
        <v>146</v>
      </c>
      <c r="C11" s="111"/>
    </row>
    <row r="12" spans="1:11" s="108" customFormat="1" ht="19.2" x14ac:dyDescent="0.25">
      <c r="A12" s="109" t="s">
        <v>150</v>
      </c>
    </row>
    <row r="13" spans="1:11" x14ac:dyDescent="0.25">
      <c r="A13" s="100"/>
    </row>
    <row r="14" spans="1:11" ht="14.4" x14ac:dyDescent="0.25">
      <c r="A14" s="100"/>
      <c r="C14" s="95"/>
    </row>
    <row r="18" spans="3:9" s="112" customFormat="1" ht="17.399999999999999" x14ac:dyDescent="0.3">
      <c r="C18" s="116" t="s">
        <v>137</v>
      </c>
      <c r="D18" s="117"/>
      <c r="E18" s="117"/>
      <c r="F18" s="117"/>
      <c r="G18" s="117"/>
      <c r="H18" s="117"/>
      <c r="I18" s="117"/>
    </row>
    <row r="19" spans="3:9" ht="15.6" x14ac:dyDescent="0.25">
      <c r="C19" s="92" t="s">
        <v>138</v>
      </c>
      <c r="D19" s="93"/>
      <c r="E19" s="93"/>
      <c r="F19" s="93"/>
      <c r="G19" s="93"/>
    </row>
    <row r="28" spans="3:9" ht="14.4" x14ac:dyDescent="0.25">
      <c r="C28" s="96"/>
      <c r="D28" s="97"/>
    </row>
    <row r="29" spans="3:9" ht="14.4" x14ac:dyDescent="0.25">
      <c r="C29" s="96"/>
    </row>
    <row r="30" spans="3:9" ht="14.4" x14ac:dyDescent="0.25">
      <c r="C30" s="96"/>
    </row>
    <row r="31" spans="3:9" ht="14.4" x14ac:dyDescent="0.25">
      <c r="C31" s="96"/>
    </row>
    <row r="32" spans="3:9" ht="14.4" x14ac:dyDescent="0.25">
      <c r="C32" s="96"/>
    </row>
    <row r="33" spans="3:12" ht="14.4" x14ac:dyDescent="0.25">
      <c r="C33" s="96"/>
    </row>
    <row r="34" spans="3:12" ht="14.4" x14ac:dyDescent="0.25">
      <c r="C34" s="96"/>
    </row>
    <row r="44" spans="3:12" ht="15.6" x14ac:dyDescent="0.25">
      <c r="C44" s="98" t="s">
        <v>139</v>
      </c>
      <c r="D44" s="93"/>
      <c r="E44" s="93"/>
      <c r="F44" s="93"/>
      <c r="G44" s="93"/>
      <c r="H44" s="93"/>
      <c r="I44" s="93"/>
      <c r="J44" s="93"/>
      <c r="K44" s="93"/>
      <c r="L44" s="93"/>
    </row>
    <row r="45" spans="3:12" x14ac:dyDescent="0.25">
      <c r="C45" s="94" t="s">
        <v>140</v>
      </c>
    </row>
    <row r="46" spans="3:12" x14ac:dyDescent="0.25">
      <c r="C46" s="94" t="s">
        <v>141</v>
      </c>
    </row>
    <row r="93" spans="3:8" ht="15.6" x14ac:dyDescent="0.3">
      <c r="C93" s="92" t="s">
        <v>142</v>
      </c>
      <c r="D93" s="99"/>
      <c r="E93" s="99"/>
      <c r="F93" s="99"/>
      <c r="G93" s="93"/>
      <c r="H93" s="93"/>
    </row>
  </sheetData>
  <phoneticPr fontId="1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39997558519241921"/>
    <pageSetUpPr fitToPage="1"/>
  </sheetPr>
  <dimension ref="A1:N40"/>
  <sheetViews>
    <sheetView showGridLines="0" topLeftCell="A14" zoomScaleNormal="100" workbookViewId="0">
      <selection activeCell="H18" sqref="H18"/>
    </sheetView>
  </sheetViews>
  <sheetFormatPr defaultColWidth="0" defaultRowHeight="0" customHeight="1" zeroHeight="1" x14ac:dyDescent="0.25"/>
  <cols>
    <col min="1" max="1" width="30" style="1" customWidth="1"/>
    <col min="2" max="2" width="16.5546875" style="1" customWidth="1"/>
    <col min="3" max="3" width="11.77734375" style="1" customWidth="1"/>
    <col min="4" max="4" width="2.44140625" style="1" customWidth="1"/>
    <col min="5" max="5" width="15.21875" style="1" customWidth="1"/>
    <col min="6" max="6" width="13.77734375" style="1" customWidth="1"/>
    <col min="7" max="7" width="14.5546875" style="1" customWidth="1"/>
    <col min="8" max="8" width="17.77734375" style="1" customWidth="1"/>
    <col min="9" max="9" width="17.5546875" style="1" customWidth="1"/>
    <col min="10" max="10" width="13.77734375" style="1" customWidth="1"/>
    <col min="11" max="11" width="2.77734375" style="1" customWidth="1"/>
    <col min="12" max="12" width="15.21875" style="1" customWidth="1"/>
    <col min="13" max="13" width="16.77734375" style="1" customWidth="1"/>
    <col min="14" max="14" width="16" style="1" customWidth="1"/>
    <col min="15" max="15" width="0.77734375" style="1" customWidth="1"/>
    <col min="16" max="16384" width="0" style="1" hidden="1"/>
  </cols>
  <sheetData>
    <row r="1" spans="1:14" ht="18.75" customHeight="1" thickBot="1" x14ac:dyDescent="0.35">
      <c r="I1" s="213" t="s">
        <v>160</v>
      </c>
      <c r="L1" s="157"/>
      <c r="M1" s="171" t="s">
        <v>159</v>
      </c>
      <c r="N1" s="157"/>
    </row>
    <row r="2" spans="1:14" ht="17.399999999999999" x14ac:dyDescent="0.3">
      <c r="A2" s="264" t="str">
        <f>Input!$C$5&amp;" TAX EXTENSION WORKSHEET"</f>
        <v>2022 TAX EXTENSION WORKSHEET</v>
      </c>
      <c r="B2" s="264"/>
      <c r="C2" s="264"/>
      <c r="F2" s="159"/>
      <c r="G2" s="159"/>
      <c r="H2" s="159" t="str">
        <f>"Estimated % Change to Existing EAV for "&amp;Input!$C$5&amp;" "</f>
        <v xml:space="preserve">Estimated % Change to Existing EAV for 2022 </v>
      </c>
      <c r="I2" s="172">
        <f>Input!C28</f>
        <v>8.0799999999999997E-2</v>
      </c>
      <c r="L2" s="170"/>
      <c r="M2" s="189" t="s">
        <v>157</v>
      </c>
      <c r="N2" s="169"/>
    </row>
    <row r="3" spans="1:14" ht="15.6" x14ac:dyDescent="0.3">
      <c r="F3" s="159"/>
      <c r="G3" s="159"/>
      <c r="H3" s="159" t="str">
        <f>"Estimated New Property for "&amp;Input!$C$5&amp;" "</f>
        <v xml:space="preserve">Estimated New Property for 2022 </v>
      </c>
      <c r="I3" s="131">
        <f>Input!$C$30</f>
        <v>662610</v>
      </c>
      <c r="L3" s="154"/>
      <c r="M3" s="187" t="s">
        <v>158</v>
      </c>
      <c r="N3" s="155"/>
    </row>
    <row r="4" spans="1:14" ht="16.2" thickBot="1" x14ac:dyDescent="0.35">
      <c r="F4" s="158"/>
      <c r="G4" s="158"/>
      <c r="H4" s="159" t="str">
        <f>"Estimated Total EAV for "&amp;Input!$C$5&amp;" "</f>
        <v xml:space="preserve">Estimated Total EAV for 2022 </v>
      </c>
      <c r="I4" s="178">
        <f>Input!$C$32</f>
        <v>36981028.5392</v>
      </c>
      <c r="J4" s="127"/>
      <c r="L4" s="179"/>
      <c r="M4" s="188" t="s">
        <v>163</v>
      </c>
      <c r="N4" s="180"/>
    </row>
    <row r="5" spans="1:14" ht="15.6" x14ac:dyDescent="0.3">
      <c r="F5" s="159"/>
      <c r="G5" s="159"/>
      <c r="H5" s="159" t="str">
        <f>"Estimated Total EAV Change for "&amp;Input!$C$5&amp;" "</f>
        <v xml:space="preserve">Estimated Total EAV Change for 2022 </v>
      </c>
      <c r="I5" s="175">
        <f>Input!$C$33</f>
        <v>0.10051861432311626</v>
      </c>
      <c r="J5" s="127"/>
    </row>
    <row r="6" spans="1:14" ht="12" customHeight="1" thickBot="1" x14ac:dyDescent="0.35">
      <c r="F6" s="159"/>
      <c r="G6" s="159"/>
      <c r="H6" s="159"/>
      <c r="I6" s="211"/>
      <c r="J6" s="127"/>
    </row>
    <row r="7" spans="1:14" ht="18" customHeight="1" x14ac:dyDescent="0.3">
      <c r="A7" s="250"/>
      <c r="B7" s="120"/>
      <c r="C7" s="120"/>
      <c r="D7" s="120"/>
      <c r="E7" s="120"/>
      <c r="F7" s="197"/>
      <c r="G7" s="198"/>
      <c r="H7" s="198"/>
      <c r="I7" s="212" t="s">
        <v>165</v>
      </c>
      <c r="J7" s="199"/>
      <c r="K7" s="199"/>
      <c r="L7" s="199"/>
      <c r="M7" s="199"/>
      <c r="N7" s="200"/>
    </row>
    <row r="8" spans="1:14" ht="15.6" x14ac:dyDescent="0.3">
      <c r="A8" s="250"/>
      <c r="B8" s="269" t="s">
        <v>237</v>
      </c>
      <c r="C8" s="271" t="s">
        <v>238</v>
      </c>
      <c r="D8" s="271"/>
      <c r="E8" s="121"/>
      <c r="F8" s="201"/>
      <c r="G8" s="194"/>
      <c r="H8" s="194" t="str">
        <f>"Actual % Change to Existing EAV for "&amp;Input!$C$5&amp;" "</f>
        <v xml:space="preserve">Actual % Change to Existing EAV for 2022 </v>
      </c>
      <c r="I8" s="173">
        <v>0.08</v>
      </c>
      <c r="J8" s="202" t="s">
        <v>204</v>
      </c>
      <c r="K8" s="13"/>
      <c r="L8" s="13"/>
      <c r="M8" s="13"/>
      <c r="N8" s="203"/>
    </row>
    <row r="9" spans="1:14" ht="15.6" x14ac:dyDescent="0.3">
      <c r="A9" s="14"/>
      <c r="B9" s="270"/>
      <c r="C9" s="270"/>
      <c r="D9" s="270"/>
      <c r="E9" s="121"/>
      <c r="F9" s="201"/>
      <c r="G9" s="194"/>
      <c r="H9" s="194" t="str">
        <f>"Actual New Property for "&amp;Input!$C$5&amp;" "</f>
        <v xml:space="preserve">Actual New Property for 2022 </v>
      </c>
      <c r="I9" s="132">
        <v>662610</v>
      </c>
      <c r="J9" s="202" t="s">
        <v>205</v>
      </c>
      <c r="K9" s="13"/>
      <c r="L9" s="13"/>
      <c r="M9" s="13"/>
      <c r="N9" s="203"/>
    </row>
    <row r="10" spans="1:14" ht="15.6" x14ac:dyDescent="0.3">
      <c r="A10" s="6" t="s">
        <v>190</v>
      </c>
      <c r="B10" s="181" t="str">
        <f>IF(Input!C15="Yes",Input!$D$53*(1+MIN(0.05,Input!$C$24))/(Input!$C$32-Input!$C$30)*100,"N/A")</f>
        <v>N/A</v>
      </c>
      <c r="C10" s="265" t="str">
        <f>IF(Input!C15="Yes",Input!$D$53*(1+MIN(0.05,Input!$C$24))/(I10-I9)*100,"N/A")</f>
        <v>N/A</v>
      </c>
      <c r="D10" s="266"/>
      <c r="F10" s="201"/>
      <c r="G10" s="194"/>
      <c r="H10" s="194" t="str">
        <f>"Actual Total EAV for "&amp;Input!$C$5&amp;" "</f>
        <v xml:space="preserve">Actual Total EAV for 2022 </v>
      </c>
      <c r="I10" s="178">
        <f>Input!C26*(1+Extension!I8)+Extension!I9</f>
        <v>36954145.920000002</v>
      </c>
      <c r="J10" s="202"/>
      <c r="K10" s="13"/>
      <c r="L10" s="13"/>
      <c r="M10" s="13"/>
      <c r="N10" s="203"/>
    </row>
    <row r="11" spans="1:14" ht="15.6" x14ac:dyDescent="0.3">
      <c r="A11" s="6" t="s">
        <v>206</v>
      </c>
      <c r="B11" s="136" t="str">
        <f>IF(Input!C15="Yes",($B$10*Input!$C$32)/100,"N/A")</f>
        <v>N/A</v>
      </c>
      <c r="C11" s="267" t="str">
        <f>IF(Input!C15="Yes",($C$10*$I$10)/100,"N/A")</f>
        <v>N/A</v>
      </c>
      <c r="D11" s="268"/>
      <c r="E11" s="119"/>
      <c r="F11" s="201"/>
      <c r="G11" s="194"/>
      <c r="H11" s="194" t="str">
        <f>"Actual Total EAV Change for "&amp;Input!$C$5&amp;" "</f>
        <v xml:space="preserve">Actual Total EAV Change for 2022 </v>
      </c>
      <c r="I11" s="176">
        <f>I10/Input!$C$26-1</f>
        <v>9.971861432311635E-2</v>
      </c>
      <c r="J11" s="202"/>
      <c r="K11" s="13"/>
      <c r="L11" s="13"/>
      <c r="M11" s="13"/>
      <c r="N11" s="203"/>
    </row>
    <row r="12" spans="1:14" ht="15.75" customHeight="1" x14ac:dyDescent="0.25">
      <c r="E12" s="13"/>
      <c r="F12" s="204"/>
      <c r="G12" s="13"/>
      <c r="H12" s="13"/>
      <c r="I12" s="13"/>
      <c r="J12" s="205" t="s">
        <v>208</v>
      </c>
      <c r="K12" s="13"/>
      <c r="L12" s="13"/>
      <c r="M12" s="13"/>
      <c r="N12" s="203"/>
    </row>
    <row r="13" spans="1:14" ht="15.6" x14ac:dyDescent="0.3">
      <c r="F13" s="204"/>
      <c r="G13" s="13"/>
      <c r="H13" s="206" t="s">
        <v>207</v>
      </c>
      <c r="I13" s="134" t="str">
        <f>IF(C10&gt;G31,"N/A",$C$10/$G$31)</f>
        <v>N/A</v>
      </c>
      <c r="J13" s="227" t="str">
        <f>IF(Input!C15="No"," YES - All Available Property Tax Dollars Have Been Captured"," YES - All Available Tax Capped Dollars Have Been Captured")</f>
        <v xml:space="preserve"> YES - All Available Property Tax Dollars Have Been Captured</v>
      </c>
      <c r="K13" s="228"/>
      <c r="L13" s="228"/>
      <c r="M13" s="228"/>
      <c r="N13" s="229"/>
    </row>
    <row r="14" spans="1:14" ht="15.6" x14ac:dyDescent="0.25">
      <c r="F14" s="204"/>
      <c r="G14" s="13"/>
      <c r="H14" s="206" t="str">
        <f>IF(Input!C15="Yes","Amount Below Allowable PTELL ","Amount Below Available Extension ")</f>
        <v xml:space="preserve">Amount Below Available Extension </v>
      </c>
      <c r="I14" s="231">
        <f>IF(Input!C15="No",IF(Extension!I31&lt;Extension!H31,Extension!I31-Extension!H31,""),IF(I13="N/A",I31-C11,""))</f>
        <v>-43710.744127999991</v>
      </c>
      <c r="J14" s="222" t="str">
        <f>IF(I14&lt;0," NO - Levy Increase Needed to Capture All Available Property Taxes","")</f>
        <v xml:space="preserve"> NO - Levy Increase Needed to Capture All Available Property Taxes</v>
      </c>
      <c r="K14" s="223"/>
      <c r="L14" s="223"/>
      <c r="M14" s="223"/>
      <c r="N14" s="224"/>
    </row>
    <row r="15" spans="1:14" ht="12" customHeight="1" thickBot="1" x14ac:dyDescent="0.3">
      <c r="A15" s="6"/>
      <c r="B15" s="6"/>
      <c r="F15" s="207"/>
      <c r="G15" s="208"/>
      <c r="H15" s="208"/>
      <c r="I15" s="208"/>
      <c r="J15" s="209"/>
      <c r="K15" s="208"/>
      <c r="L15" s="208"/>
      <c r="M15" s="208"/>
      <c r="N15" s="210"/>
    </row>
    <row r="16" spans="1:14" ht="18" customHeight="1" x14ac:dyDescent="0.25">
      <c r="G16" s="248" t="str">
        <f>IF(Input!C15="No","Maximum Extension Factor",IF(Input!C17="no","Maximum Calculated Tax Rate","Maximum Tax Rate using Prior Year EAV"))</f>
        <v>Maximum Extension Factor</v>
      </c>
      <c r="H16" s="248" t="str">
        <f>IF(Input!C15="No","Scenario Calculated Maximum Extension ","Maximum Allowable Extension")</f>
        <v xml:space="preserve">Scenario Calculated Maximum Extension </v>
      </c>
      <c r="I16" s="248" t="str">
        <f>IF(Input!$C$15="Yes","Maximum Allowable Extension x Reduction Factor","Scenario Calculated Extension")</f>
        <v>Scenario Calculated Extension</v>
      </c>
      <c r="J16" s="248" t="s">
        <v>210</v>
      </c>
      <c r="N16" s="248" t="s">
        <v>213</v>
      </c>
    </row>
    <row r="17" spans="1:14" ht="37.950000000000003" customHeight="1" x14ac:dyDescent="0.25">
      <c r="B17" s="9" t="s">
        <v>231</v>
      </c>
      <c r="C17" s="9" t="s">
        <v>209</v>
      </c>
      <c r="E17" s="9" t="s">
        <v>216</v>
      </c>
      <c r="F17" s="9" t="s">
        <v>226</v>
      </c>
      <c r="G17" s="249"/>
      <c r="H17" s="249"/>
      <c r="I17" s="249"/>
      <c r="J17" s="249"/>
      <c r="L17" s="9" t="s">
        <v>211</v>
      </c>
      <c r="M17" s="9" t="s">
        <v>212</v>
      </c>
      <c r="N17" s="249"/>
    </row>
    <row r="18" spans="1:14" ht="15.6" x14ac:dyDescent="0.3">
      <c r="A18" s="2" t="s">
        <v>178</v>
      </c>
      <c r="B18" s="131">
        <f>Calculations!J14</f>
        <v>750000</v>
      </c>
      <c r="C18" s="135">
        <v>0</v>
      </c>
      <c r="E18" s="131">
        <f>B18*(1+C18)</f>
        <v>750000</v>
      </c>
      <c r="F18" s="182">
        <f>(E18/$I$10)*100</f>
        <v>2.029542237625066</v>
      </c>
      <c r="G18" s="182">
        <f>IF(Input!$C$15="No",IF(Input!C41&gt;0,Input!C41,"Levy"),IF(Input!$C$17="no",IF(Input!C41&gt;0,MIN(Input!C41,F18),F18),IF(Input!C41&gt;0,MIN(Input!C41,Input!C41*(Input!$C$26+$I$9)/Extension!$I$10,F18),F18)))</f>
        <v>2.1</v>
      </c>
      <c r="H18" s="137">
        <f>IF(G18="Levy",E18,((G18*$I$10)/100))</f>
        <v>776037.06432000012</v>
      </c>
      <c r="I18" s="137">
        <f>IF(Input!$C$15="Yes",IF($I$13="N/A",H18,H18*$I$13),IF(Extension!E18&lt;Extension!H18,Extension!E18,Extension!H18))</f>
        <v>750000</v>
      </c>
      <c r="J18" s="182">
        <f>(I18/$I$10)*100</f>
        <v>2.029542237625066</v>
      </c>
      <c r="L18" s="138">
        <v>0</v>
      </c>
      <c r="M18" s="130">
        <f>I18+L18</f>
        <v>750000</v>
      </c>
      <c r="N18" s="182">
        <f>IF(M18=0,0,M18/$I$10)*100</f>
        <v>2.029542237625066</v>
      </c>
    </row>
    <row r="19" spans="1:14" ht="15.6" x14ac:dyDescent="0.3">
      <c r="A19" s="2" t="s">
        <v>179</v>
      </c>
      <c r="B19" s="131">
        <f>Calculations!J15</f>
        <v>190000</v>
      </c>
      <c r="C19" s="135">
        <v>0</v>
      </c>
      <c r="E19" s="131">
        <f t="shared" ref="E19:E28" si="0">B19*(1+C19)</f>
        <v>190000</v>
      </c>
      <c r="F19" s="182">
        <f t="shared" ref="F19:F28" si="1">(E19/$I$10)*100</f>
        <v>0.51415070019835007</v>
      </c>
      <c r="G19" s="182">
        <f>IF(Input!$C$15="No",IF(Input!C42&gt;0,Input!C42,"Levy"),IF(Input!$C$17="no",IF(Input!C42&gt;0,MIN(Input!C42,F19),F19),IF(Input!C42&gt;0,MIN(Input!C42,Input!C42*(Input!$C$26+$I$9)/Extension!$I$10,F19),F19)))</f>
        <v>0.55000000000000004</v>
      </c>
      <c r="H19" s="137">
        <f t="shared" ref="H19:H28" si="2">IF(G19="Levy",E19,((G19*$I$10)/100))</f>
        <v>203247.80256000001</v>
      </c>
      <c r="I19" s="137">
        <f>IF(Input!$C$15="Yes",IF($I$13="N/A",H19,H19*$I$13),IF(Extension!E19&lt;Extension!H19,Extension!E19,Extension!H19))</f>
        <v>190000</v>
      </c>
      <c r="J19" s="182">
        <f t="shared" ref="J19:J28" si="3">(I19/$I$10)*100</f>
        <v>0.51415070019835007</v>
      </c>
      <c r="L19" s="138">
        <v>0</v>
      </c>
      <c r="M19" s="130">
        <f t="shared" ref="M19:M28" si="4">I19+L19</f>
        <v>190000</v>
      </c>
      <c r="N19" s="182">
        <f t="shared" ref="N19:N28" si="5">IF(M19=0,0,M19/$I$10)*100</f>
        <v>0.51415070019835007</v>
      </c>
    </row>
    <row r="20" spans="1:14" ht="15.6" x14ac:dyDescent="0.3">
      <c r="A20" s="2" t="s">
        <v>180</v>
      </c>
      <c r="B20" s="131">
        <f>Calculations!J16</f>
        <v>42000</v>
      </c>
      <c r="C20" s="135">
        <v>0</v>
      </c>
      <c r="E20" s="131">
        <f t="shared" si="0"/>
        <v>42000</v>
      </c>
      <c r="F20" s="182">
        <f t="shared" si="1"/>
        <v>0.11365436530700369</v>
      </c>
      <c r="G20" s="182">
        <f>IF(Input!$C$15="No",IF(Input!C43&gt;0,Input!C43,"Levy"),IF(Input!$C$17="no",IF(Input!C43&gt;0,MIN(Input!C43,F20),F20),IF(Input!C43&gt;0,MIN(Input!C43,Input!C43*(Input!$C$26+$I$9)/Extension!$I$10,F20),F20)))</f>
        <v>0.12</v>
      </c>
      <c r="H20" s="137">
        <f t="shared" si="2"/>
        <v>44344.975103999997</v>
      </c>
      <c r="I20" s="137">
        <f>IF(Input!$C$15="Yes",IF($I$13="N/A",H20,H20*$I$13),IF(Extension!E20&lt;Extension!H20,Extension!E20,Extension!H20))</f>
        <v>42000</v>
      </c>
      <c r="J20" s="182">
        <f t="shared" si="3"/>
        <v>0.11365436530700369</v>
      </c>
      <c r="L20" s="138">
        <v>0</v>
      </c>
      <c r="M20" s="130">
        <f t="shared" si="4"/>
        <v>42000</v>
      </c>
      <c r="N20" s="182">
        <f t="shared" si="5"/>
        <v>0.11365436530700369</v>
      </c>
    </row>
    <row r="21" spans="1:14" ht="15.6" x14ac:dyDescent="0.3">
      <c r="A21" s="2" t="s">
        <v>181</v>
      </c>
      <c r="B21" s="131">
        <f>Calculations!J17</f>
        <v>16787</v>
      </c>
      <c r="C21" s="135">
        <v>0</v>
      </c>
      <c r="E21" s="131">
        <f t="shared" si="0"/>
        <v>16787</v>
      </c>
      <c r="F21" s="182">
        <f t="shared" si="1"/>
        <v>4.542656739068264E-2</v>
      </c>
      <c r="G21" s="182">
        <f>IF(Input!$C$15="No",IF(Input!C44&gt;0,Input!C44,"Levy"),IF(Input!$C$17="no",IF(Input!C44&gt;0,MIN(Input!C44,F21),F21),IF(Input!C44&gt;0,MIN(Input!C44,Input!C44*(Input!$C$26+$I$9)/Extension!$I$10,F21),F21)))</f>
        <v>0.05</v>
      </c>
      <c r="H21" s="137">
        <f t="shared" si="2"/>
        <v>18477.072960000001</v>
      </c>
      <c r="I21" s="137">
        <f>IF(Input!$C$15="Yes",IF($I$13="N/A",H21,H21*$I$13),IF(Extension!E21&lt;Extension!H21,Extension!E21,Extension!H21))</f>
        <v>16787</v>
      </c>
      <c r="J21" s="182">
        <f t="shared" si="3"/>
        <v>4.542656739068264E-2</v>
      </c>
      <c r="L21" s="138">
        <v>0</v>
      </c>
      <c r="M21" s="130">
        <f t="shared" si="4"/>
        <v>16787</v>
      </c>
      <c r="N21" s="182">
        <f t="shared" si="5"/>
        <v>4.542656739068264E-2</v>
      </c>
    </row>
    <row r="22" spans="1:14" ht="15.6" x14ac:dyDescent="0.3">
      <c r="A22" s="2" t="s">
        <v>182</v>
      </c>
      <c r="B22" s="131">
        <f>Calculations!J18</f>
        <v>6713</v>
      </c>
      <c r="C22" s="135">
        <v>0</v>
      </c>
      <c r="E22" s="131">
        <f t="shared" si="0"/>
        <v>6713</v>
      </c>
      <c r="F22" s="182">
        <f t="shared" si="1"/>
        <v>1.8165756054902754E-2</v>
      </c>
      <c r="G22" s="182" t="str">
        <f>IF(Input!$C$15="No",IF(Input!C45&gt;0,Input!C45,"Levy"),IF(Input!$C$17="no",IF(Input!C45&gt;0,MIN(Input!C45,F22),F22),IF(Input!C45&gt;0,MIN(Input!C45,Input!C45*(Input!$C$26+$I$9)/Extension!$I$10,F22),F22)))</f>
        <v>Levy</v>
      </c>
      <c r="H22" s="137">
        <f t="shared" si="2"/>
        <v>6713</v>
      </c>
      <c r="I22" s="137">
        <f>IF(Input!$C$15="Yes",IF($I$13="N/A",H22,H22*$I$13),IF(Extension!E22&lt;Extension!H22,Extension!E22,Extension!H22))</f>
        <v>6713</v>
      </c>
      <c r="J22" s="182">
        <f t="shared" si="3"/>
        <v>1.8165756054902754E-2</v>
      </c>
      <c r="L22" s="138">
        <v>0</v>
      </c>
      <c r="M22" s="130">
        <f t="shared" si="4"/>
        <v>6713</v>
      </c>
      <c r="N22" s="182">
        <f t="shared" si="5"/>
        <v>1.8165756054902754E-2</v>
      </c>
    </row>
    <row r="23" spans="1:14" ht="15.6" x14ac:dyDescent="0.3">
      <c r="A23" s="2" t="s">
        <v>183</v>
      </c>
      <c r="B23" s="131">
        <f>Calculations!J19</f>
        <v>25821</v>
      </c>
      <c r="C23" s="135">
        <v>0</v>
      </c>
      <c r="E23" s="131">
        <f t="shared" si="0"/>
        <v>25821</v>
      </c>
      <c r="F23" s="182">
        <f t="shared" si="1"/>
        <v>6.9873080156955758E-2</v>
      </c>
      <c r="G23" s="182" t="str">
        <f>IF(Input!$C$15="No",IF(Input!C46&gt;0,Input!C46,"Levy"),IF(Input!$C$17="no",IF(Input!C46&gt;0,MIN(Input!C46,F23),F23),IF(Input!C46&gt;0,MIN(Input!C46,Input!C46*(Input!$C$26+$I$9)/Extension!$I$10,F23),F23)))</f>
        <v>Levy</v>
      </c>
      <c r="H23" s="137">
        <f t="shared" si="2"/>
        <v>25821</v>
      </c>
      <c r="I23" s="137">
        <f>IF(Input!$C$15="Yes",IF($I$13="N/A",H23,H23*$I$13),IF(Extension!E23&lt;Extension!H23,Extension!E23,Extension!H23))</f>
        <v>25821</v>
      </c>
      <c r="J23" s="182">
        <f t="shared" si="3"/>
        <v>6.9873080156955758E-2</v>
      </c>
      <c r="L23" s="138">
        <v>0</v>
      </c>
      <c r="M23" s="130">
        <f t="shared" si="4"/>
        <v>25821</v>
      </c>
      <c r="N23" s="182">
        <f t="shared" si="5"/>
        <v>6.9873080156955758E-2</v>
      </c>
    </row>
    <row r="24" spans="1:14" ht="15.6" x14ac:dyDescent="0.3">
      <c r="A24" s="2" t="s">
        <v>184</v>
      </c>
      <c r="B24" s="131">
        <f>Calculations!J20</f>
        <v>0</v>
      </c>
      <c r="C24" s="135">
        <v>0</v>
      </c>
      <c r="E24" s="131">
        <f t="shared" si="0"/>
        <v>0</v>
      </c>
      <c r="F24" s="182">
        <f t="shared" si="1"/>
        <v>0</v>
      </c>
      <c r="G24" s="182" t="str">
        <f>IF(Input!$C$15="No",IF(Input!C47&gt;0,Input!C47,"Levy"),IF(Input!$C$17="no",IF(Input!C47&gt;0,MIN(Input!C47,F24),F24),IF(Input!C47&gt;0,MIN(Input!C47,Input!C47*(Input!$C$26+$I$9)/Extension!$I$10,F24),F24)))</f>
        <v>Levy</v>
      </c>
      <c r="H24" s="137">
        <f t="shared" si="2"/>
        <v>0</v>
      </c>
      <c r="I24" s="137">
        <f>IF(Input!$C$15="Yes",IF($I$13="N/A",H24,H24*$I$13),IF(Extension!E24&lt;Extension!H24,Extension!E24,Extension!H24))</f>
        <v>0</v>
      </c>
      <c r="J24" s="182">
        <f t="shared" si="3"/>
        <v>0</v>
      </c>
      <c r="L24" s="138">
        <v>0</v>
      </c>
      <c r="M24" s="130">
        <f t="shared" si="4"/>
        <v>0</v>
      </c>
      <c r="N24" s="182">
        <f t="shared" si="5"/>
        <v>0</v>
      </c>
    </row>
    <row r="25" spans="1:14" ht="15.6" x14ac:dyDescent="0.3">
      <c r="A25" s="2" t="s">
        <v>185</v>
      </c>
      <c r="B25" s="131">
        <f>Calculations!J21</f>
        <v>133000</v>
      </c>
      <c r="C25" s="135">
        <v>0</v>
      </c>
      <c r="E25" s="131">
        <f t="shared" si="0"/>
        <v>133000</v>
      </c>
      <c r="F25" s="182">
        <f t="shared" si="1"/>
        <v>0.35990549013884499</v>
      </c>
      <c r="G25" s="182" t="str">
        <f>IF(Input!$C$15="No",IF(Input!C48&gt;0,Input!C48,"Levy"),IF(Input!$C$17="no",IF(Input!C48&gt;0,MIN(Input!C48,F25),F25),IF(Input!C48&gt;0,MIN(Input!C48,Input!C48*(Input!$C$26+$I$9)/Extension!$I$10,F25),F25)))</f>
        <v>Levy</v>
      </c>
      <c r="H25" s="137">
        <f t="shared" si="2"/>
        <v>133000</v>
      </c>
      <c r="I25" s="137">
        <f>IF(Input!$C$15="Yes",IF($I$13="N/A",H25,H25*$I$13),IF(Extension!E25&lt;Extension!H25,Extension!E25,Extension!H25))</f>
        <v>133000</v>
      </c>
      <c r="J25" s="182">
        <f t="shared" si="3"/>
        <v>0.35990549013884499</v>
      </c>
      <c r="L25" s="138">
        <v>0</v>
      </c>
      <c r="M25" s="130">
        <f t="shared" si="4"/>
        <v>133000</v>
      </c>
      <c r="N25" s="182">
        <f t="shared" si="5"/>
        <v>0.35990549013884499</v>
      </c>
    </row>
    <row r="26" spans="1:14" ht="15.6" x14ac:dyDescent="0.3">
      <c r="A26" s="2" t="s">
        <v>186</v>
      </c>
      <c r="B26" s="131">
        <f>Calculations!J22</f>
        <v>7000</v>
      </c>
      <c r="C26" s="135">
        <v>0</v>
      </c>
      <c r="E26" s="131">
        <f t="shared" si="0"/>
        <v>7000</v>
      </c>
      <c r="F26" s="182">
        <f t="shared" si="1"/>
        <v>1.8942394217833947E-2</v>
      </c>
      <c r="G26" s="182">
        <f>IF(Input!$C$15="No",IF(Input!C49&gt;0,Input!C49,"Levy"),IF(Input!$C$17="no",IF(Input!C49&gt;0,MIN(Input!C49,F26),F26),IF(Input!C49&gt;0,MIN(Input!C49,Input!C49*(Input!$C$26+$I$9)/Extension!$I$10,F26),F26)))</f>
        <v>0.02</v>
      </c>
      <c r="H26" s="137">
        <f t="shared" si="2"/>
        <v>7390.8291840000011</v>
      </c>
      <c r="I26" s="137">
        <f>IF(Input!$C$15="Yes",IF($I$13="N/A",H26,H26*$I$13),IF(Extension!E26&lt;Extension!H26,Extension!E26,Extension!H26))</f>
        <v>7000</v>
      </c>
      <c r="J26" s="182">
        <f t="shared" si="3"/>
        <v>1.8942394217833947E-2</v>
      </c>
      <c r="L26" s="138">
        <v>0</v>
      </c>
      <c r="M26" s="130">
        <f t="shared" si="4"/>
        <v>7000</v>
      </c>
      <c r="N26" s="182">
        <f t="shared" si="5"/>
        <v>1.8942394217833947E-2</v>
      </c>
    </row>
    <row r="27" spans="1:14" ht="15.6" x14ac:dyDescent="0.3">
      <c r="A27" s="2" t="s">
        <v>187</v>
      </c>
      <c r="B27" s="131">
        <f>Calculations!J23</f>
        <v>0</v>
      </c>
      <c r="C27" s="135">
        <v>0</v>
      </c>
      <c r="E27" s="131">
        <f t="shared" si="0"/>
        <v>0</v>
      </c>
      <c r="F27" s="182">
        <f t="shared" si="1"/>
        <v>0</v>
      </c>
      <c r="G27" s="182" t="str">
        <f>IF(Input!$C$15="No",IF(Input!C50&gt;0,Input!C50,"Levy"),IF(Input!$C$17="no",IF(Input!C50&gt;0,MIN(Input!C50,F27),F27),IF(Input!C50&gt;0,MIN(Input!C50,Input!C50*(Input!$C$26+$I$9)/Extension!$I$10,F27),F27)))</f>
        <v>Levy</v>
      </c>
      <c r="H27" s="137">
        <f t="shared" si="2"/>
        <v>0</v>
      </c>
      <c r="I27" s="137">
        <f>IF(Input!$C$15="Yes",IF($I$13="N/A",H27,H27*$I$13),IF(Extension!E27&lt;Extension!H27,Extension!E27,Extension!H27))</f>
        <v>0</v>
      </c>
      <c r="J27" s="182">
        <f t="shared" si="3"/>
        <v>0</v>
      </c>
      <c r="L27" s="138">
        <v>0</v>
      </c>
      <c r="M27" s="130">
        <f t="shared" si="4"/>
        <v>0</v>
      </c>
      <c r="N27" s="182">
        <f t="shared" si="5"/>
        <v>0</v>
      </c>
    </row>
    <row r="28" spans="1:14" ht="15.6" x14ac:dyDescent="0.3">
      <c r="A28" s="2" t="str">
        <f>Input!B51</f>
        <v xml:space="preserve"> </v>
      </c>
      <c r="B28" s="131">
        <f>Calculations!J24</f>
        <v>0</v>
      </c>
      <c r="C28" s="135">
        <v>0</v>
      </c>
      <c r="E28" s="131">
        <f t="shared" si="0"/>
        <v>0</v>
      </c>
      <c r="F28" s="182">
        <f t="shared" si="1"/>
        <v>0</v>
      </c>
      <c r="G28" s="182">
        <f>IF(Input!$C$15="No",IF(Input!C51&gt;=0,Input!C51,"Levy"),IF(Input!$C$17="no",IF(Input!C51&gt;0,MIN(Input!C51,F28),F28),IF(Input!C51&gt;0,MIN(Input!C51,Input!C51*(Input!$C$26+$I$9)/Extension!$I$10,F28),F28)))</f>
        <v>0</v>
      </c>
      <c r="H28" s="137">
        <f t="shared" si="2"/>
        <v>0</v>
      </c>
      <c r="I28" s="137">
        <f>IF(Input!$C$15="Yes",IF($I$13="N/A",H28,H28*$I$13),IF(Extension!E28&lt;Extension!H28,Extension!E28,Extension!H28))</f>
        <v>0</v>
      </c>
      <c r="J28" s="182">
        <f t="shared" si="3"/>
        <v>0</v>
      </c>
      <c r="L28" s="138">
        <v>0</v>
      </c>
      <c r="M28" s="130">
        <f t="shared" si="4"/>
        <v>0</v>
      </c>
      <c r="N28" s="182">
        <f t="shared" si="5"/>
        <v>0</v>
      </c>
    </row>
    <row r="29" spans="1:14" ht="15.75" customHeight="1" x14ac:dyDescent="0.25">
      <c r="B29" s="4"/>
      <c r="C29" s="4"/>
      <c r="K29" s="123"/>
      <c r="L29" s="230">
        <f>-L31</f>
        <v>0</v>
      </c>
      <c r="M29" s="184" t="str">
        <f>IF(L29&lt;0," Extension Reduction Needed, Net to $0"," Extension Increase Needed, Net to $0")</f>
        <v xml:space="preserve"> Extension Increase Needed, Net to $0</v>
      </c>
    </row>
    <row r="30" spans="1:14" ht="15.75" customHeight="1" x14ac:dyDescent="0.25">
      <c r="B30" s="4"/>
      <c r="C30" s="4"/>
    </row>
    <row r="31" spans="1:14" ht="15.6" x14ac:dyDescent="0.3">
      <c r="A31" s="2" t="str">
        <f>IF(Input!C15="Yes","Capped Levy/Extension/Rate ","Levy/Extension/Rate ")</f>
        <v xml:space="preserve">Levy/Extension/Rate </v>
      </c>
      <c r="B31" s="139">
        <f>SUM(B18:B28)</f>
        <v>1171321</v>
      </c>
      <c r="C31" s="5"/>
      <c r="E31" s="139">
        <f>SUM(E18:E28)</f>
        <v>1171321</v>
      </c>
      <c r="F31" s="183">
        <f>SUM(F18:F28)</f>
        <v>3.1696605910896403</v>
      </c>
      <c r="G31" s="183">
        <f>SUM(G18:G28)</f>
        <v>2.8400000000000003</v>
      </c>
      <c r="H31" s="140">
        <f>SUM(H18:H28)</f>
        <v>1215031.744128</v>
      </c>
      <c r="I31" s="140">
        <f>SUM(I18:I29)</f>
        <v>1171321</v>
      </c>
      <c r="J31" s="183">
        <f>(I31/$I$10)*100</f>
        <v>3.1696605910896394</v>
      </c>
      <c r="L31" s="140">
        <f>SUM(L18:L28)</f>
        <v>0</v>
      </c>
      <c r="M31" s="140">
        <f>SUM(M18:M28)</f>
        <v>1171321</v>
      </c>
      <c r="N31" s="183">
        <f>SUM(N18:N28)</f>
        <v>3.1696605910896403</v>
      </c>
    </row>
    <row r="32" spans="1:14" ht="15.6" x14ac:dyDescent="0.3">
      <c r="A32" s="2"/>
      <c r="H32" s="123"/>
      <c r="I32" s="122"/>
    </row>
    <row r="33" spans="1:14" ht="15.6" x14ac:dyDescent="0.3">
      <c r="A33" s="2" t="s">
        <v>234</v>
      </c>
      <c r="B33" s="131">
        <f>Calculations!J31</f>
        <v>0</v>
      </c>
      <c r="H33" s="2" t="s">
        <v>239</v>
      </c>
      <c r="I33" s="138">
        <v>0</v>
      </c>
      <c r="J33" s="183">
        <f>(I33/$I$10)*100</f>
        <v>0</v>
      </c>
      <c r="K33" s="129" t="s">
        <v>161</v>
      </c>
      <c r="N33" s="183">
        <f>J33</f>
        <v>0</v>
      </c>
    </row>
    <row r="34" spans="1:14" ht="15.6" x14ac:dyDescent="0.3">
      <c r="A34" s="2"/>
      <c r="K34" s="128"/>
    </row>
    <row r="35" spans="1:14" ht="15.6" x14ac:dyDescent="0.3">
      <c r="A35" s="2" t="s">
        <v>230</v>
      </c>
      <c r="B35" s="131">
        <f>Calculations!J33</f>
        <v>0</v>
      </c>
      <c r="C35" s="11"/>
      <c r="H35" s="2" t="s">
        <v>232</v>
      </c>
      <c r="I35" s="138"/>
      <c r="J35" s="183">
        <f>(I35/$I$10)*100</f>
        <v>0</v>
      </c>
      <c r="K35" s="129" t="s">
        <v>162</v>
      </c>
      <c r="N35" s="183">
        <f>J35</f>
        <v>0</v>
      </c>
    </row>
    <row r="36" spans="1:14" ht="15.6" x14ac:dyDescent="0.3">
      <c r="A36" s="2"/>
      <c r="B36" s="118"/>
      <c r="C36" s="5"/>
      <c r="E36" s="5"/>
      <c r="F36" s="5"/>
      <c r="G36" s="5"/>
    </row>
    <row r="37" spans="1:14" ht="15.6" x14ac:dyDescent="0.3">
      <c r="A37" s="2" t="s">
        <v>194</v>
      </c>
      <c r="B37" s="139">
        <f>B31+B35+B33</f>
        <v>1171321</v>
      </c>
      <c r="C37" s="11"/>
      <c r="E37" s="13"/>
      <c r="F37" s="13"/>
      <c r="G37" s="13"/>
      <c r="H37" s="2" t="s">
        <v>229</v>
      </c>
      <c r="I37" s="139">
        <f>I31+I35+I33</f>
        <v>1171321</v>
      </c>
      <c r="J37" s="183">
        <f>J31+J33+J35</f>
        <v>3.1696605910896394</v>
      </c>
      <c r="M37" s="2"/>
      <c r="N37" s="183">
        <f>N31+N33+N35</f>
        <v>3.1696605910896403</v>
      </c>
    </row>
    <row r="38" spans="1:14" ht="13.2" x14ac:dyDescent="0.25">
      <c r="C38" s="4"/>
    </row>
    <row r="39" spans="1:14" ht="4.5" customHeight="1" x14ac:dyDescent="0.25">
      <c r="C39" s="4"/>
    </row>
    <row r="40" spans="1:14" ht="13.2" hidden="1" x14ac:dyDescent="0.25">
      <c r="C40" s="4"/>
    </row>
  </sheetData>
  <sheetProtection algorithmName="SHA-512" hashValue="AZph8s71deFY7534gqLS3klZkhXTbjAraCJVOoH7EBsy/BmKbliie2bfM/JpANC8ixnPjLuepWDIJggeMAKTvg==" saltValue="BGHkdKfG9v24i/8tUNWUdg==" spinCount="100000" sheet="1" objects="1" scenarios="1"/>
  <mergeCells count="11">
    <mergeCell ref="N16:N17"/>
    <mergeCell ref="J16:J17"/>
    <mergeCell ref="G16:G17"/>
    <mergeCell ref="I16:I17"/>
    <mergeCell ref="H16:H17"/>
    <mergeCell ref="A7:A8"/>
    <mergeCell ref="A2:C2"/>
    <mergeCell ref="C10:D10"/>
    <mergeCell ref="C11:D11"/>
    <mergeCell ref="B8:B9"/>
    <mergeCell ref="C8:D9"/>
  </mergeCells>
  <conditionalFormatting sqref="G3:H3">
    <cfRule type="expression" dxfId="34" priority="107" stopIfTrue="1">
      <formula>$C$17="No"</formula>
    </cfRule>
  </conditionalFormatting>
  <conditionalFormatting sqref="I3">
    <cfRule type="expression" dxfId="33" priority="108" stopIfTrue="1">
      <formula>$C$17="No"</formula>
    </cfRule>
  </conditionalFormatting>
  <conditionalFormatting sqref="H13:I13 I14 A10:D11 A9 A7:D7 A8:C8">
    <cfRule type="expression" dxfId="32" priority="100" stopIfTrue="1">
      <formula>$B$10="N/A"</formula>
    </cfRule>
  </conditionalFormatting>
  <conditionalFormatting sqref="F3">
    <cfRule type="expression" dxfId="31" priority="89" stopIfTrue="1">
      <formula>$C$17="No"</formula>
    </cfRule>
  </conditionalFormatting>
  <conditionalFormatting sqref="B11">
    <cfRule type="expression" dxfId="30" priority="86" stopIfTrue="1">
      <formula>$B$10="N/A"</formula>
    </cfRule>
  </conditionalFormatting>
  <conditionalFormatting sqref="C8">
    <cfRule type="expression" dxfId="29" priority="84" stopIfTrue="1">
      <formula>$B$10="N/A"</formula>
    </cfRule>
  </conditionalFormatting>
  <conditionalFormatting sqref="C10">
    <cfRule type="expression" dxfId="28" priority="80" stopIfTrue="1">
      <formula>$B$10="N/A"</formula>
    </cfRule>
  </conditionalFormatting>
  <conditionalFormatting sqref="C11">
    <cfRule type="expression" dxfId="27" priority="81" stopIfTrue="1">
      <formula>$B$10="N/A"</formula>
    </cfRule>
  </conditionalFormatting>
  <conditionalFormatting sqref="F18:F28">
    <cfRule type="cellIs" dxfId="26" priority="79" operator="greaterThan">
      <formula>$G$18</formula>
    </cfRule>
  </conditionalFormatting>
  <conditionalFormatting sqref="M18:M28">
    <cfRule type="cellIs" dxfId="25" priority="59" operator="greaterThan">
      <formula>$E18</formula>
    </cfRule>
  </conditionalFormatting>
  <conditionalFormatting sqref="H32">
    <cfRule type="cellIs" dxfId="24" priority="54" operator="lessThan">
      <formula>0</formula>
    </cfRule>
  </conditionalFormatting>
  <conditionalFormatting sqref="I32">
    <cfRule type="cellIs" dxfId="23" priority="52" operator="lessThan">
      <formula>0</formula>
    </cfRule>
    <cfRule type="cellIs" dxfId="22" priority="53" operator="lessThan">
      <formula>0</formula>
    </cfRule>
  </conditionalFormatting>
  <conditionalFormatting sqref="I14">
    <cfRule type="cellIs" dxfId="21" priority="47" operator="lessThan">
      <formula>0</formula>
    </cfRule>
    <cfRule type="cellIs" dxfId="20" priority="48" operator="lessThan">
      <formula>0</formula>
    </cfRule>
  </conditionalFormatting>
  <conditionalFormatting sqref="G2">
    <cfRule type="expression" dxfId="19" priority="37" stopIfTrue="1">
      <formula>$C$17="No"</formula>
    </cfRule>
  </conditionalFormatting>
  <conditionalFormatting sqref="I2">
    <cfRule type="expression" dxfId="18" priority="38" stopIfTrue="1">
      <formula>$C$17="No"</formula>
    </cfRule>
  </conditionalFormatting>
  <conditionalFormatting sqref="F2">
    <cfRule type="expression" dxfId="17" priority="36" stopIfTrue="1">
      <formula>$C$17="No"</formula>
    </cfRule>
  </conditionalFormatting>
  <conditionalFormatting sqref="H2">
    <cfRule type="expression" dxfId="16" priority="35" stopIfTrue="1">
      <formula>$C$17="No"</formula>
    </cfRule>
  </conditionalFormatting>
  <conditionalFormatting sqref="A7:C7 E7:E9 A8">
    <cfRule type="expression" dxfId="15" priority="109" stopIfTrue="1">
      <formula>$B$10="N/A"</formula>
    </cfRule>
  </conditionalFormatting>
  <conditionalFormatting sqref="J13:N13">
    <cfRule type="expression" dxfId="14" priority="7">
      <formula>$I$14&lt;0</formula>
    </cfRule>
    <cfRule type="expression" dxfId="13" priority="28">
      <formula>$I$13="N/A"</formula>
    </cfRule>
  </conditionalFormatting>
  <conditionalFormatting sqref="J14:N14">
    <cfRule type="expression" dxfId="12" priority="18">
      <formula>$I$14&lt;0</formula>
    </cfRule>
  </conditionalFormatting>
  <conditionalFormatting sqref="L31">
    <cfRule type="expression" dxfId="11" priority="16">
      <formula>$L$31&gt;0</formula>
    </cfRule>
    <cfRule type="expression" dxfId="10" priority="17">
      <formula>$L$31&lt;0</formula>
    </cfRule>
  </conditionalFormatting>
  <conditionalFormatting sqref="M29:N29">
    <cfRule type="expression" dxfId="9" priority="15">
      <formula>$L$31=0</formula>
    </cfRule>
  </conditionalFormatting>
  <conditionalFormatting sqref="L29">
    <cfRule type="expression" dxfId="8" priority="14">
      <formula>$L$31=0</formula>
    </cfRule>
  </conditionalFormatting>
  <conditionalFormatting sqref="J18:J21 J24 J26:J28">
    <cfRule type="expression" dxfId="7" priority="12">
      <formula>$J18&lt;$G18</formula>
    </cfRule>
  </conditionalFormatting>
  <conditionalFormatting sqref="J28">
    <cfRule type="expression" dxfId="6" priority="11">
      <formula>$J$28=0</formula>
    </cfRule>
  </conditionalFormatting>
  <conditionalFormatting sqref="I8:I9">
    <cfRule type="expression" dxfId="5" priority="6">
      <formula>$I$14&lt;0</formula>
    </cfRule>
  </conditionalFormatting>
  <conditionalFormatting sqref="I18:I28">
    <cfRule type="expression" dxfId="4" priority="5">
      <formula>$I18&lt;$H18</formula>
    </cfRule>
  </conditionalFormatting>
  <conditionalFormatting sqref="H14">
    <cfRule type="expression" dxfId="3" priority="1">
      <formula>$I$14&gt;0</formula>
    </cfRule>
  </conditionalFormatting>
  <pageMargins left="0.4" right="0.4" top="0.73" bottom="0.79" header="0.5" footer="0.49"/>
  <pageSetup scale="65" orientation="landscape" r:id="rId1"/>
  <headerFooter alignWithMargins="0"/>
  <ignoredErrors>
    <ignoredError sqref="I10" unlockedFormula="1"/>
  </ignoredErrors>
  <extLst>
    <ext xmlns:x14="http://schemas.microsoft.com/office/spreadsheetml/2009/9/main" uri="{78C0D931-6437-407d-A8EE-F0AAD7539E65}">
      <x14:conditionalFormattings>
        <x14:conditionalFormatting xmlns:xm="http://schemas.microsoft.com/office/excel/2006/main">
          <x14:cfRule type="expression" priority="9" id="{F533E96E-9F42-40B7-984F-046851FCFBCD}">
            <xm:f>Input!$C$15="No"</xm:f>
            <x14:dxf>
              <font>
                <color auto="1"/>
              </font>
              <fill>
                <patternFill>
                  <bgColor theme="4" tint="0.79998168889431442"/>
                </patternFill>
              </fill>
            </x14:dxf>
          </x14:cfRule>
          <xm:sqref>F18:F28</xm:sqref>
        </x14:conditionalFormatting>
        <x14:conditionalFormatting xmlns:xm="http://schemas.microsoft.com/office/excel/2006/main">
          <x14:cfRule type="expression" priority="4" id="{B8847947-6521-42EF-AFE2-5C0101C5D6A5}">
            <xm:f>Input!$C$15="No"</xm:f>
            <x14:dxf>
              <font>
                <color theme="0"/>
              </font>
              <fill>
                <patternFill>
                  <bgColor theme="0"/>
                </patternFill>
              </fill>
              <border>
                <left/>
                <right/>
                <top/>
                <bottom/>
                <vertical/>
                <horizontal/>
              </border>
            </x14:dxf>
          </x14:cfRule>
          <xm:sqref>A33:N33</xm:sqref>
        </x14:conditionalFormatting>
        <x14:conditionalFormatting xmlns:xm="http://schemas.microsoft.com/office/excel/2006/main">
          <x14:cfRule type="expression" priority="3" id="{72A30542-E860-40E6-8D11-3BD4D696343C}">
            <xm:f>Input!$C$15="Yes"</xm:f>
            <x14:dxf>
              <fill>
                <patternFill>
                  <bgColor theme="4" tint="0.79998168889431442"/>
                </patternFill>
              </fill>
            </x14:dxf>
          </x14:cfRule>
          <xm:sqref>I18:J28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9" tint="0.59999389629810485"/>
    <pageSetUpPr fitToPage="1"/>
  </sheetPr>
  <dimension ref="A1:Q77"/>
  <sheetViews>
    <sheetView showGridLines="0" topLeftCell="A49" zoomScale="115" zoomScaleNormal="115" workbookViewId="0">
      <selection activeCell="D16" sqref="D16:E16"/>
    </sheetView>
  </sheetViews>
  <sheetFormatPr defaultColWidth="0" defaultRowHeight="13.2" zeroHeight="1" x14ac:dyDescent="0.25"/>
  <cols>
    <col min="1" max="1" width="10.44140625" style="14" customWidth="1"/>
    <col min="2" max="2" width="9.77734375" style="14" customWidth="1"/>
    <col min="3" max="3" width="5.77734375" style="14" customWidth="1"/>
    <col min="4" max="5" width="7.77734375" style="14" customWidth="1"/>
    <col min="6" max="6" width="6" style="14" customWidth="1"/>
    <col min="7" max="7" width="8.77734375" style="14" customWidth="1"/>
    <col min="8" max="8" width="10.77734375" style="14" customWidth="1"/>
    <col min="9" max="10" width="2.77734375" style="14" customWidth="1"/>
    <col min="11" max="12" width="7.77734375" style="14" customWidth="1"/>
    <col min="13" max="13" width="2.77734375" style="14" customWidth="1"/>
    <col min="14" max="14" width="3.77734375" style="14" customWidth="1"/>
    <col min="15" max="15" width="2.77734375" style="14" customWidth="1"/>
    <col min="16" max="17" width="9.21875" style="14" customWidth="1"/>
    <col min="18" max="16384" width="0" style="14" hidden="1"/>
  </cols>
  <sheetData>
    <row r="1" spans="1:17" ht="12.3" customHeight="1" x14ac:dyDescent="0.25">
      <c r="C1" s="15"/>
      <c r="D1" s="16" t="s">
        <v>3</v>
      </c>
      <c r="E1" s="16"/>
      <c r="F1" s="16"/>
      <c r="G1" s="16"/>
      <c r="H1" s="16"/>
      <c r="I1" s="16"/>
      <c r="J1" s="16"/>
      <c r="K1" s="16"/>
      <c r="L1" s="16"/>
      <c r="M1" s="16"/>
      <c r="N1" s="16"/>
      <c r="O1" s="16"/>
      <c r="P1" s="16"/>
      <c r="Q1" s="16"/>
    </row>
    <row r="2" spans="1:17" ht="12.3" customHeight="1" x14ac:dyDescent="0.25">
      <c r="B2" s="17" t="s">
        <v>91</v>
      </c>
      <c r="C2" s="18" t="str">
        <f>IF(Input!$C$19=0,"",Input!$C$19)</f>
        <v>x</v>
      </c>
      <c r="D2" s="19" t="s">
        <v>4</v>
      </c>
      <c r="E2" s="20"/>
      <c r="F2" s="21"/>
      <c r="G2" s="21"/>
      <c r="H2" s="21"/>
      <c r="I2" s="21"/>
      <c r="J2" s="21"/>
      <c r="K2" s="21"/>
      <c r="L2" s="21"/>
      <c r="M2" s="21"/>
    </row>
    <row r="3" spans="1:17" ht="12.3" customHeight="1" x14ac:dyDescent="0.25">
      <c r="B3" s="22" t="s">
        <v>92</v>
      </c>
      <c r="C3" s="18" t="str">
        <f>IF(Input!$C$20=0,"",Input!$C$20)</f>
        <v/>
      </c>
      <c r="E3" s="23"/>
      <c r="F3" s="26" t="s">
        <v>112</v>
      </c>
      <c r="G3" s="21"/>
      <c r="H3" s="21"/>
      <c r="I3" s="21"/>
      <c r="J3" s="21"/>
      <c r="K3" s="21"/>
      <c r="L3" s="21"/>
      <c r="M3" s="21"/>
    </row>
    <row r="4" spans="1:17" ht="12.3" customHeight="1" x14ac:dyDescent="0.25">
      <c r="B4" s="21"/>
      <c r="C4" s="21"/>
      <c r="E4" s="24"/>
      <c r="G4" s="21"/>
      <c r="H4" s="21"/>
      <c r="I4" s="21"/>
      <c r="J4" s="21"/>
      <c r="K4" s="21"/>
      <c r="L4" s="21"/>
      <c r="M4" s="21"/>
    </row>
    <row r="5" spans="1:17" ht="12.3" customHeight="1" x14ac:dyDescent="0.25">
      <c r="A5" s="25"/>
      <c r="B5" s="25"/>
      <c r="C5" s="25"/>
      <c r="G5" s="25"/>
      <c r="H5" s="25"/>
      <c r="I5" s="25"/>
      <c r="J5" s="25"/>
      <c r="K5" s="25"/>
      <c r="L5" s="25"/>
      <c r="M5" s="25"/>
    </row>
    <row r="6" spans="1:17" ht="15.6" x14ac:dyDescent="0.25">
      <c r="A6" s="284" t="s">
        <v>5</v>
      </c>
      <c r="B6" s="284"/>
      <c r="C6" s="284"/>
      <c r="D6" s="284"/>
      <c r="E6" s="284"/>
      <c r="F6" s="284"/>
      <c r="G6" s="284"/>
      <c r="H6" s="284"/>
      <c r="I6" s="284"/>
      <c r="J6" s="284"/>
      <c r="K6" s="284"/>
      <c r="L6" s="284"/>
      <c r="M6" s="284"/>
    </row>
    <row r="7" spans="1:17" ht="7.5" customHeight="1" x14ac:dyDescent="0.25"/>
    <row r="8" spans="1:17" x14ac:dyDescent="0.25">
      <c r="A8" s="28" t="s">
        <v>14</v>
      </c>
    </row>
    <row r="9" spans="1:17" x14ac:dyDescent="0.25">
      <c r="A9" s="28" t="s">
        <v>15</v>
      </c>
    </row>
    <row r="10" spans="1:17" ht="7.5" customHeight="1" x14ac:dyDescent="0.25"/>
    <row r="11" spans="1:17" x14ac:dyDescent="0.25">
      <c r="A11" s="29" t="s">
        <v>16</v>
      </c>
      <c r="B11" s="30"/>
      <c r="C11" s="30"/>
      <c r="D11" s="30"/>
      <c r="E11" s="30"/>
      <c r="F11" s="30"/>
      <c r="G11" s="31" t="s">
        <v>17</v>
      </c>
      <c r="H11" s="32"/>
      <c r="I11" s="32"/>
      <c r="J11" s="33"/>
      <c r="K11" s="31" t="s">
        <v>2</v>
      </c>
      <c r="L11" s="32"/>
      <c r="M11" s="32"/>
      <c r="N11" s="32"/>
      <c r="O11" s="32"/>
      <c r="P11" s="33"/>
    </row>
    <row r="12" spans="1:17" x14ac:dyDescent="0.25">
      <c r="A12" s="285" t="str">
        <f>Input!C7</f>
        <v xml:space="preserve">Eswood CCSD </v>
      </c>
      <c r="B12" s="277"/>
      <c r="C12" s="277"/>
      <c r="D12" s="277"/>
      <c r="E12" s="277"/>
      <c r="F12" s="277"/>
      <c r="G12" s="285">
        <f>Input!$C$8</f>
        <v>269</v>
      </c>
      <c r="H12" s="277"/>
      <c r="I12" s="277"/>
      <c r="J12" s="286"/>
      <c r="K12" s="285" t="str">
        <f>IF(Input!$C$10=0,Input!C9,IF(Input!C11=0,Input!C9&amp;", "&amp;Input!C10,IF(Input!C12=0,Input!C9&amp;", "&amp;Input!C10&amp;", "&amp;Input!C11,Input!C9&amp;", "&amp;Input!C10&amp;", "&amp;Input!C11&amp;", "&amp;Input!C12)))</f>
        <v>Ogle, DeKalb</v>
      </c>
      <c r="L12" s="277"/>
      <c r="M12" s="277"/>
      <c r="N12" s="277"/>
      <c r="O12" s="277"/>
      <c r="P12" s="286"/>
    </row>
    <row r="13" spans="1:17" ht="7.5" customHeight="1" x14ac:dyDescent="0.25">
      <c r="A13" s="35"/>
      <c r="B13" s="36"/>
      <c r="C13" s="36"/>
      <c r="D13" s="36"/>
      <c r="E13" s="36"/>
      <c r="F13" s="37"/>
      <c r="G13" s="36"/>
      <c r="H13" s="36"/>
      <c r="I13" s="36"/>
      <c r="J13" s="36"/>
      <c r="K13" s="38"/>
      <c r="L13" s="38"/>
      <c r="M13" s="38"/>
      <c r="N13" s="38"/>
    </row>
    <row r="14" spans="1:17" ht="13.8" x14ac:dyDescent="0.25">
      <c r="A14" s="39" t="s">
        <v>18</v>
      </c>
      <c r="B14" s="40"/>
      <c r="C14" s="40"/>
      <c r="D14" s="40"/>
      <c r="E14" s="40"/>
      <c r="F14" s="40"/>
      <c r="G14" s="40"/>
      <c r="H14" s="40"/>
      <c r="I14" s="40"/>
      <c r="J14" s="40"/>
      <c r="K14" s="40"/>
      <c r="L14" s="40"/>
    </row>
    <row r="15" spans="1:17" ht="7.5" customHeight="1" x14ac:dyDescent="0.25"/>
    <row r="16" spans="1:17" x14ac:dyDescent="0.25">
      <c r="A16" s="41" t="s">
        <v>19</v>
      </c>
      <c r="C16" s="42" t="s">
        <v>0</v>
      </c>
      <c r="D16" s="274">
        <f>Calculations!J14</f>
        <v>750000</v>
      </c>
      <c r="E16" s="274"/>
      <c r="F16" s="43"/>
      <c r="G16" s="41" t="s">
        <v>93</v>
      </c>
      <c r="J16" s="42" t="s">
        <v>0</v>
      </c>
      <c r="K16" s="274">
        <f>Calculations!J20</f>
        <v>0</v>
      </c>
      <c r="L16" s="274"/>
    </row>
    <row r="17" spans="1:12" x14ac:dyDescent="0.25">
      <c r="A17" s="41" t="s">
        <v>47</v>
      </c>
      <c r="C17" s="42" t="s">
        <v>0</v>
      </c>
      <c r="D17" s="274">
        <f>Calculations!J15</f>
        <v>190000</v>
      </c>
      <c r="E17" s="274"/>
      <c r="G17" s="41" t="s">
        <v>24</v>
      </c>
      <c r="J17" s="42" t="s">
        <v>0</v>
      </c>
      <c r="K17" s="274">
        <f>Calculations!J21</f>
        <v>133000</v>
      </c>
      <c r="L17" s="274"/>
    </row>
    <row r="18" spans="1:12" x14ac:dyDescent="0.25">
      <c r="A18" s="41" t="s">
        <v>20</v>
      </c>
      <c r="C18" s="42" t="s">
        <v>0</v>
      </c>
      <c r="D18" s="274">
        <f>Calculations!J16</f>
        <v>42000</v>
      </c>
      <c r="E18" s="274"/>
      <c r="G18" s="41" t="s">
        <v>25</v>
      </c>
      <c r="J18" s="42" t="s">
        <v>0</v>
      </c>
      <c r="K18" s="274">
        <f>Calculations!J22</f>
        <v>7000</v>
      </c>
      <c r="L18" s="274"/>
    </row>
    <row r="19" spans="1:12" x14ac:dyDescent="0.25">
      <c r="A19" s="41" t="s">
        <v>21</v>
      </c>
      <c r="C19" s="42" t="s">
        <v>0</v>
      </c>
      <c r="D19" s="274">
        <f>Calculations!J17</f>
        <v>16787</v>
      </c>
      <c r="E19" s="274"/>
      <c r="G19" s="41" t="s">
        <v>26</v>
      </c>
      <c r="J19" s="42" t="s">
        <v>0</v>
      </c>
      <c r="K19" s="274">
        <f>Calculations!J23</f>
        <v>0</v>
      </c>
      <c r="L19" s="274"/>
    </row>
    <row r="20" spans="1:12" x14ac:dyDescent="0.25">
      <c r="A20" s="41" t="s">
        <v>22</v>
      </c>
      <c r="C20" s="42" t="s">
        <v>0</v>
      </c>
      <c r="D20" s="274">
        <f>Calculations!J18</f>
        <v>6713</v>
      </c>
      <c r="E20" s="274"/>
      <c r="G20" s="41" t="str">
        <f>Input!B51</f>
        <v xml:space="preserve"> </v>
      </c>
      <c r="J20" s="42" t="s">
        <v>0</v>
      </c>
      <c r="K20" s="274">
        <f>Calculations!J24</f>
        <v>0</v>
      </c>
      <c r="L20" s="274"/>
    </row>
    <row r="21" spans="1:12" x14ac:dyDescent="0.25">
      <c r="A21" s="41" t="s">
        <v>23</v>
      </c>
      <c r="C21" s="42" t="s">
        <v>0</v>
      </c>
      <c r="D21" s="274">
        <f>Calculations!J19</f>
        <v>25821</v>
      </c>
      <c r="E21" s="274"/>
      <c r="G21" s="41" t="str">
        <f>IF(Calculations!$G$31=0,"Other",Calculations!$A$31)</f>
        <v>Other</v>
      </c>
      <c r="J21" s="42" t="s">
        <v>0</v>
      </c>
      <c r="K21" s="274">
        <f>Calculations!J31</f>
        <v>0</v>
      </c>
      <c r="L21" s="274"/>
    </row>
    <row r="22" spans="1:12" x14ac:dyDescent="0.25">
      <c r="A22" s="41"/>
      <c r="C22" s="44"/>
      <c r="D22" s="280"/>
      <c r="E22" s="280"/>
      <c r="G22" s="41" t="s">
        <v>27</v>
      </c>
      <c r="J22" s="42" t="s">
        <v>0</v>
      </c>
      <c r="K22" s="274">
        <f>SUM(K16:L21)+SUM(D16:E21)</f>
        <v>1171321</v>
      </c>
      <c r="L22" s="274"/>
    </row>
    <row r="23" spans="1:12" x14ac:dyDescent="0.25">
      <c r="G23" s="45" t="s">
        <v>28</v>
      </c>
    </row>
    <row r="24" spans="1:12" ht="11.55" customHeight="1" x14ac:dyDescent="0.25">
      <c r="A24" s="41" t="s">
        <v>6</v>
      </c>
      <c r="G24" s="46" t="s">
        <v>29</v>
      </c>
    </row>
    <row r="25" spans="1:12" ht="9.3000000000000007" customHeight="1" x14ac:dyDescent="0.25">
      <c r="A25" s="46" t="s">
        <v>121</v>
      </c>
      <c r="B25" s="47"/>
    </row>
    <row r="26" spans="1:12" ht="9.3000000000000007" customHeight="1" x14ac:dyDescent="0.25">
      <c r="A26" s="48" t="s">
        <v>94</v>
      </c>
      <c r="B26" s="47"/>
    </row>
    <row r="27" spans="1:12" ht="4.5" customHeight="1" x14ac:dyDescent="0.25"/>
    <row r="28" spans="1:12" x14ac:dyDescent="0.25">
      <c r="A28" s="49" t="s">
        <v>7</v>
      </c>
    </row>
    <row r="29" spans="1:12" x14ac:dyDescent="0.25">
      <c r="B29" s="50" t="s">
        <v>30</v>
      </c>
      <c r="C29" s="278">
        <f t="shared" ref="C29:C34" si="0">D16</f>
        <v>750000</v>
      </c>
      <c r="D29" s="279"/>
      <c r="E29" s="50" t="s">
        <v>13</v>
      </c>
    </row>
    <row r="30" spans="1:12" x14ac:dyDescent="0.25">
      <c r="B30" s="50" t="s">
        <v>30</v>
      </c>
      <c r="C30" s="278">
        <f t="shared" si="0"/>
        <v>190000</v>
      </c>
      <c r="D30" s="279"/>
      <c r="E30" s="50" t="s">
        <v>31</v>
      </c>
    </row>
    <row r="31" spans="1:12" x14ac:dyDescent="0.25">
      <c r="B31" s="50" t="s">
        <v>30</v>
      </c>
      <c r="C31" s="278">
        <f t="shared" si="0"/>
        <v>42000</v>
      </c>
      <c r="D31" s="279"/>
      <c r="E31" s="50" t="s">
        <v>32</v>
      </c>
    </row>
    <row r="32" spans="1:12" x14ac:dyDescent="0.25">
      <c r="B32" s="50" t="s">
        <v>30</v>
      </c>
      <c r="C32" s="278">
        <f t="shared" si="0"/>
        <v>16787</v>
      </c>
      <c r="D32" s="279"/>
      <c r="E32" s="50" t="s">
        <v>34</v>
      </c>
    </row>
    <row r="33" spans="1:14" x14ac:dyDescent="0.25">
      <c r="B33" s="50" t="s">
        <v>30</v>
      </c>
      <c r="C33" s="278">
        <f t="shared" si="0"/>
        <v>6713</v>
      </c>
      <c r="D33" s="279"/>
      <c r="E33" s="50" t="s">
        <v>33</v>
      </c>
    </row>
    <row r="34" spans="1:14" x14ac:dyDescent="0.25">
      <c r="B34" s="50" t="s">
        <v>30</v>
      </c>
      <c r="C34" s="278">
        <f t="shared" si="0"/>
        <v>25821</v>
      </c>
      <c r="D34" s="279"/>
      <c r="E34" s="50" t="s">
        <v>35</v>
      </c>
    </row>
    <row r="35" spans="1:14" x14ac:dyDescent="0.25">
      <c r="B35" s="50" t="s">
        <v>30</v>
      </c>
      <c r="C35" s="278">
        <f>K16</f>
        <v>0</v>
      </c>
      <c r="D35" s="279"/>
      <c r="E35" s="50" t="s">
        <v>45</v>
      </c>
    </row>
    <row r="36" spans="1:14" x14ac:dyDescent="0.25">
      <c r="B36" s="51"/>
      <c r="E36" s="50" t="s">
        <v>46</v>
      </c>
    </row>
    <row r="37" spans="1:14" x14ac:dyDescent="0.25">
      <c r="B37" s="50" t="s">
        <v>30</v>
      </c>
      <c r="C37" s="278">
        <f>K17</f>
        <v>133000</v>
      </c>
      <c r="D37" s="279"/>
      <c r="E37" s="50" t="s">
        <v>36</v>
      </c>
    </row>
    <row r="38" spans="1:14" x14ac:dyDescent="0.25">
      <c r="B38" s="50" t="s">
        <v>30</v>
      </c>
      <c r="C38" s="278">
        <f>K18</f>
        <v>7000</v>
      </c>
      <c r="D38" s="279"/>
      <c r="E38" s="50" t="s">
        <v>37</v>
      </c>
    </row>
    <row r="39" spans="1:14" x14ac:dyDescent="0.25">
      <c r="B39" s="50" t="s">
        <v>30</v>
      </c>
      <c r="C39" s="278">
        <f>K19</f>
        <v>0</v>
      </c>
      <c r="D39" s="279"/>
      <c r="E39" s="50" t="s">
        <v>38</v>
      </c>
    </row>
    <row r="40" spans="1:14" x14ac:dyDescent="0.25">
      <c r="B40" s="51"/>
      <c r="C40" s="32"/>
      <c r="D40" s="32"/>
      <c r="E40" s="50" t="s">
        <v>118</v>
      </c>
    </row>
    <row r="41" spans="1:14" x14ac:dyDescent="0.25">
      <c r="B41" s="50" t="s">
        <v>30</v>
      </c>
      <c r="C41" s="278">
        <f>K20</f>
        <v>0</v>
      </c>
      <c r="D41" s="279"/>
      <c r="E41" s="50" t="s">
        <v>95</v>
      </c>
      <c r="I41" s="277" t="str">
        <f>IF(Input!$B$51=0,"",Input!$B$51)</f>
        <v xml:space="preserve"> </v>
      </c>
      <c r="J41" s="277"/>
      <c r="K41" s="277"/>
      <c r="L41" s="277"/>
      <c r="M41" s="14" t="s">
        <v>1</v>
      </c>
    </row>
    <row r="42" spans="1:14" x14ac:dyDescent="0.25">
      <c r="B42" s="50" t="s">
        <v>30</v>
      </c>
      <c r="C42" s="278">
        <f>K21</f>
        <v>0</v>
      </c>
      <c r="D42" s="279"/>
      <c r="E42" s="50" t="s">
        <v>95</v>
      </c>
      <c r="I42" s="277" t="str">
        <f>IF(Calculations!$G$31=0,"",Calculations!$A$31)</f>
        <v/>
      </c>
      <c r="J42" s="277"/>
      <c r="K42" s="277"/>
      <c r="L42" s="277"/>
    </row>
    <row r="43" spans="1:14" x14ac:dyDescent="0.25">
      <c r="B43" s="50" t="s">
        <v>105</v>
      </c>
      <c r="G43" s="50"/>
      <c r="H43" s="34">
        <f>Input!$C$5</f>
        <v>2022</v>
      </c>
      <c r="I43" s="52"/>
      <c r="J43" s="52"/>
      <c r="K43" s="52"/>
      <c r="L43" s="53"/>
      <c r="M43" s="54"/>
      <c r="N43" s="43"/>
    </row>
    <row r="44" spans="1:14" x14ac:dyDescent="0.25">
      <c r="E44" s="55"/>
    </row>
    <row r="45" spans="1:14" x14ac:dyDescent="0.25">
      <c r="A45" s="14" t="s">
        <v>96</v>
      </c>
      <c r="B45" s="56"/>
      <c r="C45" s="54" t="s">
        <v>106</v>
      </c>
      <c r="D45" s="57"/>
      <c r="E45" s="34">
        <f>Input!$C$5</f>
        <v>2022</v>
      </c>
      <c r="F45" s="58"/>
      <c r="G45" s="14" t="s">
        <v>8</v>
      </c>
      <c r="H45" s="59"/>
      <c r="I45" s="59"/>
      <c r="J45" s="59"/>
      <c r="K45" s="59"/>
      <c r="L45" s="59"/>
    </row>
    <row r="46" spans="1:14" x14ac:dyDescent="0.25">
      <c r="J46" s="60" t="s">
        <v>39</v>
      </c>
    </row>
    <row r="47" spans="1:14" x14ac:dyDescent="0.25"/>
    <row r="48" spans="1:14" x14ac:dyDescent="0.25">
      <c r="G48" s="59"/>
      <c r="H48" s="59"/>
      <c r="I48" s="59"/>
      <c r="J48" s="59"/>
      <c r="K48" s="59"/>
      <c r="L48" s="59"/>
    </row>
    <row r="49" spans="1:16" x14ac:dyDescent="0.25">
      <c r="G49" s="60" t="s">
        <v>40</v>
      </c>
    </row>
    <row r="50" spans="1:16" x14ac:dyDescent="0.25"/>
    <row r="51" spans="1:16" s="64" customFormat="1" ht="10.050000000000001" customHeight="1" x14ac:dyDescent="0.2">
      <c r="A51" s="61" t="s">
        <v>108</v>
      </c>
      <c r="B51" s="62"/>
      <c r="C51" s="62"/>
      <c r="D51" s="62"/>
      <c r="E51" s="62"/>
      <c r="F51" s="62"/>
      <c r="G51" s="62"/>
      <c r="H51" s="62"/>
      <c r="I51" s="62"/>
      <c r="J51" s="62"/>
      <c r="K51" s="62"/>
      <c r="L51" s="62"/>
      <c r="M51" s="62"/>
      <c r="N51" s="62"/>
      <c r="O51" s="62"/>
      <c r="P51" s="63"/>
    </row>
    <row r="52" spans="1:16" s="64" customFormat="1" ht="10.8" customHeight="1" x14ac:dyDescent="0.2">
      <c r="A52" s="61" t="s">
        <v>109</v>
      </c>
      <c r="B52" s="62"/>
      <c r="C52" s="62"/>
      <c r="D52" s="62"/>
      <c r="E52" s="62"/>
      <c r="F52" s="62"/>
      <c r="G52" s="62"/>
      <c r="H52" s="62"/>
      <c r="I52" s="62"/>
      <c r="J52" s="62"/>
      <c r="K52" s="62"/>
      <c r="L52" s="62"/>
      <c r="M52" s="62"/>
      <c r="N52" s="62"/>
      <c r="O52" s="62"/>
      <c r="P52" s="63"/>
    </row>
    <row r="53" spans="1:16" s="64" customFormat="1" ht="10.8" customHeight="1" x14ac:dyDescent="0.2">
      <c r="A53" s="61" t="s">
        <v>110</v>
      </c>
      <c r="B53" s="62"/>
      <c r="C53" s="62"/>
      <c r="D53" s="62"/>
      <c r="E53" s="62"/>
      <c r="F53" s="62"/>
      <c r="G53" s="62"/>
      <c r="H53" s="62"/>
      <c r="I53" s="62"/>
      <c r="J53" s="62"/>
      <c r="K53" s="62"/>
      <c r="L53" s="62"/>
      <c r="M53" s="62"/>
      <c r="N53" s="62"/>
      <c r="O53" s="62"/>
      <c r="P53" s="63"/>
    </row>
    <row r="54" spans="1:16" s="64" customFormat="1" ht="10.8" customHeight="1" x14ac:dyDescent="0.2">
      <c r="A54" s="61" t="s">
        <v>111</v>
      </c>
      <c r="B54" s="62"/>
      <c r="C54" s="62"/>
      <c r="D54" s="62"/>
      <c r="E54" s="62"/>
      <c r="F54" s="62"/>
      <c r="G54" s="62"/>
      <c r="H54" s="62"/>
      <c r="I54" s="62"/>
      <c r="J54" s="62"/>
      <c r="K54" s="62"/>
      <c r="L54" s="62"/>
      <c r="M54" s="62"/>
      <c r="N54" s="62"/>
      <c r="O54" s="62"/>
      <c r="P54" s="63"/>
    </row>
    <row r="55" spans="1:16" ht="6" customHeight="1" x14ac:dyDescent="0.25">
      <c r="A55" s="41"/>
    </row>
    <row r="56" spans="1:16" x14ac:dyDescent="0.25">
      <c r="A56" s="65" t="s">
        <v>101</v>
      </c>
      <c r="B56" s="66"/>
      <c r="C56" s="66"/>
      <c r="D56" s="66"/>
      <c r="E56" s="66"/>
      <c r="F56" s="66"/>
      <c r="G56" s="66"/>
      <c r="H56" s="66"/>
      <c r="I56" s="67"/>
      <c r="J56" s="68"/>
      <c r="K56" s="68">
        <f>Input!C35</f>
        <v>0</v>
      </c>
      <c r="L56" s="14" t="s">
        <v>8</v>
      </c>
    </row>
    <row r="57" spans="1:16" ht="6.75" customHeight="1" thickBot="1" x14ac:dyDescent="0.3"/>
    <row r="58" spans="1:16" ht="8.25" customHeight="1" x14ac:dyDescent="0.25">
      <c r="A58" s="69"/>
      <c r="B58" s="69"/>
      <c r="C58" s="69"/>
      <c r="D58" s="69"/>
      <c r="E58" s="69"/>
      <c r="F58" s="69"/>
      <c r="G58" s="69"/>
      <c r="H58" s="69"/>
      <c r="I58" s="69"/>
      <c r="J58" s="69"/>
      <c r="K58" s="69"/>
      <c r="L58" s="69"/>
      <c r="M58" s="69"/>
      <c r="N58" s="69"/>
      <c r="O58" s="70"/>
      <c r="P58" s="70"/>
    </row>
    <row r="59" spans="1:16" x14ac:dyDescent="0.25">
      <c r="A59" s="287" t="s">
        <v>9</v>
      </c>
      <c r="B59" s="287"/>
      <c r="C59" s="287"/>
      <c r="D59" s="287"/>
      <c r="E59" s="287"/>
      <c r="F59" s="287"/>
      <c r="G59" s="287"/>
      <c r="H59" s="287"/>
      <c r="I59" s="287"/>
      <c r="J59" s="287"/>
      <c r="K59" s="287"/>
      <c r="L59" s="287"/>
      <c r="M59" s="287"/>
    </row>
    <row r="60" spans="1:16" x14ac:dyDescent="0.25"/>
    <row r="61" spans="1:16" x14ac:dyDescent="0.25">
      <c r="A61" s="55" t="s">
        <v>102</v>
      </c>
      <c r="F61" s="54"/>
      <c r="G61" s="54"/>
      <c r="H61" s="71">
        <f>G12</f>
        <v>269</v>
      </c>
      <c r="I61" s="43" t="s">
        <v>12</v>
      </c>
      <c r="J61" s="275" t="str">
        <f>K12</f>
        <v>Ogle, DeKalb</v>
      </c>
      <c r="K61" s="275"/>
      <c r="L61" s="275"/>
      <c r="M61" s="72" t="s">
        <v>97</v>
      </c>
    </row>
    <row r="62" spans="1:16" ht="15.75" customHeight="1" x14ac:dyDescent="0.25">
      <c r="A62" s="72" t="s">
        <v>107</v>
      </c>
      <c r="K62" s="73"/>
      <c r="L62" s="277">
        <f>H43</f>
        <v>2022</v>
      </c>
      <c r="M62" s="277" t="s">
        <v>12</v>
      </c>
    </row>
    <row r="63" spans="1:16" ht="15" customHeight="1" x14ac:dyDescent="0.25">
      <c r="A63" s="50" t="s">
        <v>41</v>
      </c>
      <c r="F63" s="43"/>
      <c r="G63" s="276"/>
      <c r="H63" s="277"/>
      <c r="I63" s="54" t="s">
        <v>12</v>
      </c>
      <c r="J63" s="277">
        <f>H43</f>
        <v>2022</v>
      </c>
      <c r="K63" s="277"/>
      <c r="L63" s="14" t="s">
        <v>8</v>
      </c>
    </row>
    <row r="64" spans="1:16" s="72" customFormat="1" ht="15" customHeight="1" x14ac:dyDescent="0.2">
      <c r="A64" s="55" t="s">
        <v>103</v>
      </c>
    </row>
    <row r="65" spans="1:16" s="72" customFormat="1" ht="15" customHeight="1" x14ac:dyDescent="0.2">
      <c r="A65" s="72" t="s">
        <v>120</v>
      </c>
    </row>
    <row r="66" spans="1:16" s="72" customFormat="1" ht="15" customHeight="1" x14ac:dyDescent="0.25">
      <c r="A66" s="72" t="s">
        <v>114</v>
      </c>
      <c r="H66" s="34"/>
      <c r="I66" s="277">
        <f>Input!$C$5</f>
        <v>2022</v>
      </c>
      <c r="J66" s="277"/>
      <c r="K66" s="277"/>
      <c r="L66" s="74" t="s">
        <v>113</v>
      </c>
      <c r="M66" s="75" t="s">
        <v>0</v>
      </c>
      <c r="N66" s="272"/>
      <c r="O66" s="273"/>
      <c r="P66" s="76" t="s">
        <v>8</v>
      </c>
    </row>
    <row r="67" spans="1:16" x14ac:dyDescent="0.25">
      <c r="A67" s="281"/>
      <c r="B67" s="282"/>
      <c r="C67" s="67"/>
      <c r="D67" s="77"/>
      <c r="E67" s="43"/>
    </row>
    <row r="68" spans="1:16" x14ac:dyDescent="0.25">
      <c r="H68" s="276"/>
      <c r="I68" s="276"/>
      <c r="J68" s="276"/>
      <c r="K68" s="276"/>
      <c r="L68" s="276"/>
    </row>
    <row r="69" spans="1:16" x14ac:dyDescent="0.25">
      <c r="H69" s="283" t="s">
        <v>42</v>
      </c>
      <c r="I69" s="283"/>
      <c r="J69" s="283"/>
      <c r="K69" s="283"/>
      <c r="L69" s="283"/>
    </row>
    <row r="70" spans="1:16" x14ac:dyDescent="0.25">
      <c r="H70" s="78"/>
      <c r="I70" s="78"/>
      <c r="J70" s="78"/>
      <c r="K70" s="78"/>
      <c r="L70" s="78"/>
    </row>
    <row r="71" spans="1:16" x14ac:dyDescent="0.25">
      <c r="B71" s="276"/>
      <c r="C71" s="276"/>
      <c r="D71" s="276"/>
      <c r="H71" s="276"/>
      <c r="I71" s="276"/>
      <c r="J71" s="276"/>
      <c r="K71" s="276"/>
      <c r="L71" s="276"/>
    </row>
    <row r="72" spans="1:16" x14ac:dyDescent="0.25">
      <c r="A72" s="79"/>
      <c r="B72" s="283" t="s">
        <v>44</v>
      </c>
      <c r="C72" s="283"/>
      <c r="D72" s="283"/>
      <c r="H72" s="283" t="s">
        <v>43</v>
      </c>
      <c r="I72" s="283"/>
      <c r="J72" s="283"/>
      <c r="K72" s="283"/>
      <c r="L72" s="283"/>
    </row>
    <row r="73" spans="1:16" x14ac:dyDescent="0.25"/>
    <row r="74" spans="1:16" x14ac:dyDescent="0.25"/>
    <row r="75" spans="1:16" x14ac:dyDescent="0.25">
      <c r="A75" s="80" t="s">
        <v>136</v>
      </c>
      <c r="B75" s="81"/>
      <c r="C75" s="81"/>
      <c r="D75" s="82"/>
    </row>
    <row r="76" spans="1:16" x14ac:dyDescent="0.25"/>
    <row r="77" spans="1:16" x14ac:dyDescent="0.25"/>
  </sheetData>
  <sheetProtection algorithmName="SHA-512" hashValue="nRkzIpSqYtduFfztQ0JREH9GXs7fx6b04LJ2bLdPNzT4OO7VDC0a0+58hxdrJP+tmxtXd7uLTuArBvE5+ovX1g==" saltValue="kuIRtQ5BJFrWO7werBWyQA==" spinCount="100000" sheet="1" objects="1" scenarios="1"/>
  <mergeCells count="46">
    <mergeCell ref="L62:M62"/>
    <mergeCell ref="A59:M59"/>
    <mergeCell ref="C35:D35"/>
    <mergeCell ref="C37:D37"/>
    <mergeCell ref="C41:D41"/>
    <mergeCell ref="C42:D42"/>
    <mergeCell ref="I41:L41"/>
    <mergeCell ref="I42:L42"/>
    <mergeCell ref="A6:M6"/>
    <mergeCell ref="K16:L16"/>
    <mergeCell ref="K17:L17"/>
    <mergeCell ref="K18:L18"/>
    <mergeCell ref="K12:P12"/>
    <mergeCell ref="A12:F12"/>
    <mergeCell ref="G12:J12"/>
    <mergeCell ref="D17:E17"/>
    <mergeCell ref="D18:E18"/>
    <mergeCell ref="J63:K63"/>
    <mergeCell ref="I66:K66"/>
    <mergeCell ref="H69:L69"/>
    <mergeCell ref="H72:L72"/>
    <mergeCell ref="B72:D72"/>
    <mergeCell ref="H68:L68"/>
    <mergeCell ref="H71:L71"/>
    <mergeCell ref="B71:D71"/>
    <mergeCell ref="D22:E22"/>
    <mergeCell ref="C30:D30"/>
    <mergeCell ref="C31:D31"/>
    <mergeCell ref="C32:D32"/>
    <mergeCell ref="A67:B67"/>
    <mergeCell ref="N66:O66"/>
    <mergeCell ref="K22:L22"/>
    <mergeCell ref="D16:E16"/>
    <mergeCell ref="J61:L61"/>
    <mergeCell ref="G63:H63"/>
    <mergeCell ref="C38:D38"/>
    <mergeCell ref="C39:D39"/>
    <mergeCell ref="D19:E19"/>
    <mergeCell ref="K19:L19"/>
    <mergeCell ref="K20:L20"/>
    <mergeCell ref="D20:E20"/>
    <mergeCell ref="D21:E21"/>
    <mergeCell ref="K21:L21"/>
    <mergeCell ref="C33:D33"/>
    <mergeCell ref="C34:D34"/>
    <mergeCell ref="C29:D29"/>
  </mergeCells>
  <phoneticPr fontId="10" type="noConversion"/>
  <pageMargins left="0.3" right="0.18" top="0.36" bottom="0.35" header="0.25" footer="0.25"/>
  <pageSetup scale="84" orientation="portrait" r:id="rId1"/>
  <headerFooter alignWithMargins="0"/>
  <cellWatches>
    <cellWatch r="H43"/>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9" tint="0.59999389629810485"/>
  </sheetPr>
  <dimension ref="A1:K74"/>
  <sheetViews>
    <sheetView showGridLines="0" zoomScale="115" zoomScaleNormal="115" zoomScaleSheetLayoutView="100" workbookViewId="0"/>
  </sheetViews>
  <sheetFormatPr defaultColWidth="0" defaultRowHeight="11.4" zeroHeight="1" x14ac:dyDescent="0.2"/>
  <cols>
    <col min="1" max="1" width="102.77734375" style="72" customWidth="1"/>
    <col min="2" max="2" width="6.21875" style="72" hidden="1" customWidth="1"/>
    <col min="3" max="10" width="0" style="72" hidden="1" customWidth="1"/>
    <col min="11" max="11" width="13.21875" style="72" hidden="1" customWidth="1"/>
    <col min="12" max="16384" width="0" style="72" hidden="1"/>
  </cols>
  <sheetData>
    <row r="1" spans="1:11" ht="52.05" customHeight="1" x14ac:dyDescent="0.2">
      <c r="A1" s="27" t="s">
        <v>62</v>
      </c>
      <c r="B1" s="27"/>
      <c r="C1" s="27"/>
      <c r="D1" s="27"/>
      <c r="E1" s="27"/>
      <c r="F1" s="27"/>
      <c r="G1" s="27"/>
      <c r="H1" s="27"/>
      <c r="I1" s="27"/>
      <c r="J1" s="27"/>
      <c r="K1" s="27"/>
    </row>
    <row r="2" spans="1:11" x14ac:dyDescent="0.2">
      <c r="A2" s="83" t="s">
        <v>63</v>
      </c>
    </row>
    <row r="3" spans="1:11" x14ac:dyDescent="0.2">
      <c r="A3" s="84" t="s">
        <v>48</v>
      </c>
    </row>
    <row r="4" spans="1:11" x14ac:dyDescent="0.2">
      <c r="A4" s="84" t="s">
        <v>49</v>
      </c>
    </row>
    <row r="5" spans="1:11" x14ac:dyDescent="0.2">
      <c r="A5" s="84"/>
    </row>
    <row r="6" spans="1:11" x14ac:dyDescent="0.2">
      <c r="A6" s="83" t="s">
        <v>63</v>
      </c>
    </row>
    <row r="7" spans="1:11" x14ac:dyDescent="0.2">
      <c r="A7" s="84" t="s">
        <v>68</v>
      </c>
    </row>
    <row r="8" spans="1:11" x14ac:dyDescent="0.2">
      <c r="A8" s="84" t="s">
        <v>50</v>
      </c>
    </row>
    <row r="9" spans="1:11" x14ac:dyDescent="0.2">
      <c r="A9" s="84"/>
    </row>
    <row r="10" spans="1:11" x14ac:dyDescent="0.2">
      <c r="A10" s="83" t="s">
        <v>51</v>
      </c>
    </row>
    <row r="11" spans="1:11" x14ac:dyDescent="0.2">
      <c r="A11" s="84" t="s">
        <v>122</v>
      </c>
    </row>
    <row r="12" spans="1:11" x14ac:dyDescent="0.2">
      <c r="A12" s="84" t="s">
        <v>69</v>
      </c>
    </row>
    <row r="13" spans="1:11" x14ac:dyDescent="0.2">
      <c r="A13" s="84"/>
    </row>
    <row r="14" spans="1:11" x14ac:dyDescent="0.2">
      <c r="A14" s="83" t="s">
        <v>64</v>
      </c>
    </row>
    <row r="15" spans="1:11" x14ac:dyDescent="0.2">
      <c r="A15" s="84" t="s">
        <v>52</v>
      </c>
    </row>
    <row r="16" spans="1:11" x14ac:dyDescent="0.2">
      <c r="A16" s="84"/>
    </row>
    <row r="17" spans="1:1" x14ac:dyDescent="0.2">
      <c r="A17" s="83" t="s">
        <v>70</v>
      </c>
    </row>
    <row r="18" spans="1:1" x14ac:dyDescent="0.2">
      <c r="A18" s="84" t="s">
        <v>71</v>
      </c>
    </row>
    <row r="19" spans="1:1" x14ac:dyDescent="0.2">
      <c r="A19" s="84" t="s">
        <v>72</v>
      </c>
    </row>
    <row r="20" spans="1:1" x14ac:dyDescent="0.2">
      <c r="A20" s="84" t="s">
        <v>73</v>
      </c>
    </row>
    <row r="21" spans="1:1" x14ac:dyDescent="0.2">
      <c r="A21" s="84"/>
    </row>
    <row r="22" spans="1:1" x14ac:dyDescent="0.2">
      <c r="A22" s="83" t="s">
        <v>65</v>
      </c>
    </row>
    <row r="23" spans="1:1" x14ac:dyDescent="0.2">
      <c r="A23" s="84" t="s">
        <v>74</v>
      </c>
    </row>
    <row r="24" spans="1:1" x14ac:dyDescent="0.2">
      <c r="A24" s="84" t="s">
        <v>75</v>
      </c>
    </row>
    <row r="25" spans="1:1" x14ac:dyDescent="0.2">
      <c r="A25" s="84" t="s">
        <v>76</v>
      </c>
    </row>
    <row r="26" spans="1:1" x14ac:dyDescent="0.2">
      <c r="A26" s="84"/>
    </row>
    <row r="27" spans="1:1" x14ac:dyDescent="0.2">
      <c r="A27" s="83" t="s">
        <v>53</v>
      </c>
    </row>
    <row r="28" spans="1:1" x14ac:dyDescent="0.2">
      <c r="A28" s="84" t="s">
        <v>66</v>
      </c>
    </row>
    <row r="29" spans="1:1" x14ac:dyDescent="0.2">
      <c r="A29" s="84" t="s">
        <v>98</v>
      </c>
    </row>
    <row r="30" spans="1:1" x14ac:dyDescent="0.2">
      <c r="A30" s="84" t="s">
        <v>99</v>
      </c>
    </row>
    <row r="31" spans="1:1" x14ac:dyDescent="0.2">
      <c r="A31" s="84"/>
    </row>
    <row r="32" spans="1:1" x14ac:dyDescent="0.2">
      <c r="A32" s="83" t="s">
        <v>116</v>
      </c>
    </row>
    <row r="33" spans="1:1" x14ac:dyDescent="0.2">
      <c r="A33" s="84" t="s">
        <v>77</v>
      </c>
    </row>
    <row r="34" spans="1:1" x14ac:dyDescent="0.2">
      <c r="A34" s="84" t="s">
        <v>78</v>
      </c>
    </row>
    <row r="35" spans="1:1" x14ac:dyDescent="0.2">
      <c r="A35" s="84" t="s">
        <v>100</v>
      </c>
    </row>
    <row r="36" spans="1:1" x14ac:dyDescent="0.2">
      <c r="A36" s="84" t="s">
        <v>79</v>
      </c>
    </row>
    <row r="37" spans="1:1" x14ac:dyDescent="0.2">
      <c r="A37" s="84"/>
    </row>
    <row r="38" spans="1:1" x14ac:dyDescent="0.2">
      <c r="A38" s="84"/>
    </row>
    <row r="39" spans="1:1" x14ac:dyDescent="0.2">
      <c r="A39" s="83" t="s">
        <v>115</v>
      </c>
    </row>
    <row r="40" spans="1:1" x14ac:dyDescent="0.2">
      <c r="A40" s="84" t="s">
        <v>80</v>
      </c>
    </row>
    <row r="41" spans="1:1" x14ac:dyDescent="0.2">
      <c r="A41" s="84" t="s">
        <v>81</v>
      </c>
    </row>
    <row r="42" spans="1:1" x14ac:dyDescent="0.2">
      <c r="A42" s="84" t="s">
        <v>82</v>
      </c>
    </row>
    <row r="43" spans="1:1" x14ac:dyDescent="0.2">
      <c r="A43" s="84"/>
    </row>
    <row r="44" spans="1:1" x14ac:dyDescent="0.2">
      <c r="A44" s="83" t="s">
        <v>54</v>
      </c>
    </row>
    <row r="45" spans="1:1" x14ac:dyDescent="0.2">
      <c r="A45" s="84" t="s">
        <v>55</v>
      </c>
    </row>
    <row r="46" spans="1:1" x14ac:dyDescent="0.2">
      <c r="A46" s="84" t="s">
        <v>67</v>
      </c>
    </row>
    <row r="47" spans="1:1" x14ac:dyDescent="0.2">
      <c r="A47" s="84"/>
    </row>
    <row r="48" spans="1:1" x14ac:dyDescent="0.2">
      <c r="A48" s="83" t="s">
        <v>56</v>
      </c>
    </row>
    <row r="49" spans="1:1" x14ac:dyDescent="0.2">
      <c r="A49" s="84" t="s">
        <v>83</v>
      </c>
    </row>
    <row r="50" spans="1:1" x14ac:dyDescent="0.2">
      <c r="A50" s="84" t="s">
        <v>84</v>
      </c>
    </row>
    <row r="51" spans="1:1" x14ac:dyDescent="0.2">
      <c r="A51" s="84"/>
    </row>
    <row r="52" spans="1:1" x14ac:dyDescent="0.2">
      <c r="A52" s="83" t="s">
        <v>57</v>
      </c>
    </row>
    <row r="53" spans="1:1" x14ac:dyDescent="0.2">
      <c r="A53" s="84" t="s">
        <v>85</v>
      </c>
    </row>
    <row r="54" spans="1:1" x14ac:dyDescent="0.2">
      <c r="A54" s="84" t="s">
        <v>123</v>
      </c>
    </row>
    <row r="55" spans="1:1" x14ac:dyDescent="0.2">
      <c r="A55" s="84" t="s">
        <v>86</v>
      </c>
    </row>
    <row r="56" spans="1:1" x14ac:dyDescent="0.2">
      <c r="A56" s="84" t="s">
        <v>87</v>
      </c>
    </row>
    <row r="57" spans="1:1" x14ac:dyDescent="0.2">
      <c r="A57" s="84" t="s">
        <v>88</v>
      </c>
    </row>
    <row r="58" spans="1:1" x14ac:dyDescent="0.2">
      <c r="A58" s="84"/>
    </row>
    <row r="59" spans="1:1" x14ac:dyDescent="0.2">
      <c r="A59" s="83" t="s">
        <v>58</v>
      </c>
    </row>
    <row r="60" spans="1:1" x14ac:dyDescent="0.2">
      <c r="A60" s="84" t="s">
        <v>89</v>
      </c>
    </row>
    <row r="61" spans="1:1" x14ac:dyDescent="0.2">
      <c r="A61" s="84" t="s">
        <v>119</v>
      </c>
    </row>
    <row r="62" spans="1:1" x14ac:dyDescent="0.2">
      <c r="A62" s="84"/>
    </row>
    <row r="63" spans="1:1" x14ac:dyDescent="0.2">
      <c r="A63" s="83" t="s">
        <v>59</v>
      </c>
    </row>
    <row r="64" spans="1:1" x14ac:dyDescent="0.2">
      <c r="A64" s="84" t="s">
        <v>104</v>
      </c>
    </row>
    <row r="65" spans="1:1" x14ac:dyDescent="0.2">
      <c r="A65" s="84" t="s">
        <v>90</v>
      </c>
    </row>
    <row r="66" spans="1:1" x14ac:dyDescent="0.2">
      <c r="A66" s="84" t="s">
        <v>60</v>
      </c>
    </row>
    <row r="67" spans="1:1" x14ac:dyDescent="0.2">
      <c r="A67" s="84"/>
    </row>
    <row r="68" spans="1:1" x14ac:dyDescent="0.2">
      <c r="A68" s="83" t="s">
        <v>61</v>
      </c>
    </row>
    <row r="69" spans="1:1" x14ac:dyDescent="0.2">
      <c r="A69" s="84" t="s">
        <v>117</v>
      </c>
    </row>
    <row r="70" spans="1:1" x14ac:dyDescent="0.2">
      <c r="A70" s="84"/>
    </row>
    <row r="71" spans="1:1" x14ac:dyDescent="0.2">
      <c r="A71" s="84"/>
    </row>
    <row r="72" spans="1:1" ht="11.1" hidden="1" customHeight="1" x14ac:dyDescent="0.2"/>
    <row r="73" spans="1:1" ht="11.1" hidden="1" customHeight="1" x14ac:dyDescent="0.2"/>
    <row r="74" spans="1:1" ht="11.1" hidden="1" customHeight="1" x14ac:dyDescent="0.2"/>
  </sheetData>
  <sheetProtection password="CC14" sheet="1" objects="1" scenarios="1"/>
  <phoneticPr fontId="10" type="noConversion"/>
  <pageMargins left="0.63" right="0.25" top="0" bottom="0" header="0.5" footer="0.5"/>
  <pageSetup paperSize="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B1"/>
  <sheetViews>
    <sheetView workbookViewId="0">
      <selection activeCell="A2" sqref="A2"/>
    </sheetView>
  </sheetViews>
  <sheetFormatPr defaultRowHeight="13.2" x14ac:dyDescent="0.25"/>
  <sheetData>
    <row r="1" spans="1:2" x14ac:dyDescent="0.25">
      <c r="A1" t="s">
        <v>10</v>
      </c>
      <c r="B1" t="s">
        <v>11</v>
      </c>
    </row>
  </sheetData>
  <phoneticPr fontId="1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EB3F97F4AE0E42B45E1938BBA1EB2E" ma:contentTypeVersion="12" ma:contentTypeDescription="Create a new document." ma:contentTypeScope="" ma:versionID="7c5b1271ee1ec7d88045a4c09582be70">
  <xsd:schema xmlns:xsd="http://www.w3.org/2001/XMLSchema" xmlns:xs="http://www.w3.org/2001/XMLSchema" xmlns:p="http://schemas.microsoft.com/office/2006/metadata/properties" xmlns:ns3="29b36ee5-1ca7-46dd-b5f0-cd38d455131d" xmlns:ns4="dbe9e2a1-d586-409c-905c-748d15c9a972" targetNamespace="http://schemas.microsoft.com/office/2006/metadata/properties" ma:root="true" ma:fieldsID="e8335a1bafc27793898155234b251767" ns3:_="" ns4:_="">
    <xsd:import namespace="29b36ee5-1ca7-46dd-b5f0-cd38d455131d"/>
    <xsd:import namespace="dbe9e2a1-d586-409c-905c-748d15c9a97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36ee5-1ca7-46dd-b5f0-cd38d455131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9e2a1-d586-409c-905c-748d15c9a97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AD819A-8F0A-4977-9004-1B9B95B5A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36ee5-1ca7-46dd-b5f0-cd38d455131d"/>
    <ds:schemaRef ds:uri="dbe9e2a1-d586-409c-905c-748d15c9a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16F68-9D4E-4E6D-A21A-1903391CC2DC}">
  <ds:schemaRefs>
    <ds:schemaRef ds:uri="dbe9e2a1-d586-409c-905c-748d15c9a972"/>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9b36ee5-1ca7-46dd-b5f0-cd38d455131d"/>
    <ds:schemaRef ds:uri="http://www.w3.org/XML/1998/namespace"/>
    <ds:schemaRef ds:uri="http://purl.org/dc/elements/1.1/"/>
  </ds:schemaRefs>
</ds:datastoreItem>
</file>

<file path=customXml/itemProps3.xml><?xml version="1.0" encoding="utf-8"?>
<ds:datastoreItem xmlns:ds="http://schemas.openxmlformats.org/officeDocument/2006/customXml" ds:itemID="{34CCFCF6-AA6C-4018-A70B-1090EAADEF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Disclaimer</vt:lpstr>
      <vt:lpstr>Instructions</vt:lpstr>
      <vt:lpstr>Input</vt:lpstr>
      <vt:lpstr>Calculations</vt:lpstr>
      <vt:lpstr>copyright_disclaimer</vt:lpstr>
      <vt:lpstr>Extension</vt:lpstr>
      <vt:lpstr>Certificate of Tax Levy</vt:lpstr>
      <vt:lpstr>Explanation</vt:lpstr>
      <vt:lpstr>InfoPage</vt:lpstr>
      <vt:lpstr>Calculations!Print_Area</vt:lpstr>
      <vt:lpstr>Explanation!Print_Area</vt:lpstr>
      <vt:lpstr>Extension!Print_Area</vt:lpstr>
      <vt:lpstr>Input!Print_Area</vt:lpstr>
    </vt:vector>
  </TitlesOfParts>
  <Company>School Business &amp; Support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Certificate of Tax Levy</dc:title>
  <dc:subject>Form</dc:subject>
  <dc:creator>DJH</dc:creator>
  <cp:lastModifiedBy>James Hammack</cp:lastModifiedBy>
  <cp:lastPrinted>2021-11-10T15:28:07Z</cp:lastPrinted>
  <dcterms:created xsi:type="dcterms:W3CDTF">2001-07-03T19:36:57Z</dcterms:created>
  <dcterms:modified xsi:type="dcterms:W3CDTF">2022-10-13T15:53:47Z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0x010100C1EB3F97F4AE0E42B45E1938BBA1EB2E</vt:lpwstr>
  </property>
</Properties>
</file>